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illgye\OneDrive\SIRA\Church Point\Fees\"/>
    </mc:Choice>
  </mc:AlternateContent>
  <bookViews>
    <workbookView xWindow="0" yWindow="0" windowWidth="15585" windowHeight="8205"/>
  </bookViews>
  <sheets>
    <sheet name="Main Loan Scenarios" sheetId="6" r:id="rId1"/>
    <sheet name="Loan Scenarios on CPPOM costs" sheetId="1" state="hidden" r:id="rId2"/>
    <sheet name="Loan Scenarios with Hyder costs" sheetId="2" state="hidden" r:id="rId3"/>
    <sheet name="Reserve Fund " sheetId="3" state="hidden" r:id="rId4"/>
    <sheet name="Construction Costs" sheetId="4" state="hidden" r:id="rId5"/>
    <sheet name="Other figures" sheetId="5" state="hidden" r:id="rId6"/>
    <sheet name="Ground Floor only" sheetId="7" state="hidden" r:id="rId7"/>
  </sheets>
  <externalReferences>
    <externalReference r:id="rId8"/>
  </externalReferences>
  <calcPr calcId="152511"/>
</workbook>
</file>

<file path=xl/calcChain.xml><?xml version="1.0" encoding="utf-8"?>
<calcChain xmlns="http://schemas.openxmlformats.org/spreadsheetml/2006/main">
  <c r="D14" i="6" l="1"/>
  <c r="I15" i="3"/>
  <c r="H15" i="3"/>
  <c r="G15" i="3"/>
  <c r="F15" i="3"/>
  <c r="E15" i="3"/>
  <c r="D15" i="3"/>
  <c r="J15" i="3" s="1"/>
  <c r="J14" i="3"/>
  <c r="J13" i="3"/>
  <c r="J12" i="3"/>
  <c r="I9" i="3"/>
  <c r="I17" i="3" s="1"/>
  <c r="H9" i="3"/>
  <c r="H17" i="3" s="1"/>
  <c r="F9" i="3"/>
  <c r="F17" i="3" s="1"/>
  <c r="D9" i="3"/>
  <c r="D17" i="3" s="1"/>
  <c r="D18" i="3" s="1"/>
  <c r="I7" i="3"/>
  <c r="H7" i="3"/>
  <c r="G7" i="3"/>
  <c r="G9" i="3" s="1"/>
  <c r="G17" i="3" s="1"/>
  <c r="E7" i="3"/>
  <c r="E9" i="3" s="1"/>
  <c r="E17" i="3" s="1"/>
  <c r="D7" i="3"/>
  <c r="E18" i="3" l="1"/>
  <c r="F18" i="3" s="1"/>
  <c r="G18" i="3" s="1"/>
  <c r="H18" i="3" s="1"/>
  <c r="I18" i="3" s="1"/>
  <c r="D17" i="6"/>
  <c r="E17" i="6" s="1"/>
  <c r="F17" i="6" s="1"/>
  <c r="G17" i="6" s="1"/>
  <c r="H17" i="6" s="1"/>
  <c r="I17" i="6" s="1"/>
  <c r="J17" i="6" s="1"/>
  <c r="I13" i="6" l="1"/>
  <c r="J13" i="6"/>
  <c r="B4" i="4"/>
  <c r="H13" i="6"/>
  <c r="G13" i="6"/>
  <c r="F13" i="6"/>
  <c r="E13" i="6"/>
  <c r="D13" i="6"/>
  <c r="D3" i="6" l="1"/>
  <c r="C18" i="4" s="1"/>
  <c r="F3" i="6" l="1"/>
  <c r="C13" i="7"/>
  <c r="C11" i="7"/>
  <c r="C7" i="7"/>
  <c r="C3" i="7"/>
  <c r="C5" i="7" s="1"/>
  <c r="C8" i="7" s="1"/>
  <c r="C10" i="7" s="1"/>
  <c r="C2" i="7"/>
  <c r="C16" i="7" l="1"/>
  <c r="C14" i="7"/>
  <c r="C15" i="7" s="1"/>
  <c r="E14" i="6" l="1"/>
  <c r="D15" i="6"/>
  <c r="E15" i="6" s="1"/>
  <c r="F15" i="6" s="1"/>
  <c r="G15" i="6" s="1"/>
  <c r="H15" i="6" s="1"/>
  <c r="I15" i="6" s="1"/>
  <c r="J15" i="6" s="1"/>
  <c r="F14" i="6" l="1"/>
  <c r="K6" i="3"/>
  <c r="G14" i="6" l="1"/>
  <c r="F17" i="5"/>
  <c r="E17" i="5"/>
  <c r="D17" i="5"/>
  <c r="C17" i="5"/>
  <c r="F16" i="5"/>
  <c r="F18" i="5" s="1"/>
  <c r="E16" i="5"/>
  <c r="E18" i="5" s="1"/>
  <c r="D16" i="5"/>
  <c r="D18" i="5" s="1"/>
  <c r="C16" i="5"/>
  <c r="C18" i="5" s="1"/>
  <c r="F11" i="5"/>
  <c r="E11" i="5"/>
  <c r="D11" i="5"/>
  <c r="C11" i="5"/>
  <c r="E4" i="5"/>
  <c r="E3" i="5"/>
  <c r="E2" i="5"/>
  <c r="B26" i="4"/>
  <c r="C26" i="4"/>
  <c r="C69" i="2"/>
  <c r="C59" i="2"/>
  <c r="C53" i="2"/>
  <c r="C51" i="2"/>
  <c r="C45" i="2"/>
  <c r="C43" i="2"/>
  <c r="C37" i="2"/>
  <c r="C35" i="2"/>
  <c r="C29" i="2"/>
  <c r="C27" i="2"/>
  <c r="C21" i="2"/>
  <c r="C19" i="2"/>
  <c r="C13" i="2"/>
  <c r="C11" i="2"/>
  <c r="C67" i="1"/>
  <c r="C61" i="1"/>
  <c r="C53" i="1"/>
  <c r="C51" i="1"/>
  <c r="C45" i="1"/>
  <c r="C43" i="1"/>
  <c r="C37" i="1"/>
  <c r="C35" i="1"/>
  <c r="C29" i="1"/>
  <c r="C27" i="1"/>
  <c r="C21" i="1"/>
  <c r="C19" i="1"/>
  <c r="C13" i="1"/>
  <c r="C11" i="1"/>
  <c r="H14" i="6" l="1"/>
  <c r="C27" i="4"/>
  <c r="D25" i="4"/>
  <c r="C68" i="1"/>
  <c r="C4" i="4"/>
  <c r="B11" i="4"/>
  <c r="B19" i="4" s="1"/>
  <c r="C11" i="4"/>
  <c r="C19" i="4"/>
  <c r="I14" i="6" l="1"/>
  <c r="D8" i="6"/>
  <c r="C62" i="2"/>
  <c r="C69" i="1"/>
  <c r="C70" i="1" s="1"/>
  <c r="C59" i="1" s="1"/>
  <c r="C20" i="4"/>
  <c r="D18" i="4"/>
  <c r="C12" i="4"/>
  <c r="D10" i="4"/>
  <c r="C5" i="4"/>
  <c r="D3" i="4"/>
  <c r="D26" i="4"/>
  <c r="D27" i="4" s="1"/>
  <c r="J14" i="6" l="1"/>
  <c r="C64" i="1"/>
  <c r="D60" i="1"/>
  <c r="C62" i="1"/>
  <c r="D61" i="1"/>
  <c r="D11" i="4"/>
  <c r="E10" i="4" s="1"/>
  <c r="E25" i="4"/>
  <c r="D4" i="4"/>
  <c r="D5" i="4" s="1"/>
  <c r="D19" i="4"/>
  <c r="D20" i="4" s="1"/>
  <c r="C7" i="2"/>
  <c r="C7" i="1"/>
  <c r="E3" i="4" l="1"/>
  <c r="E4" i="4" s="1"/>
  <c r="F3" i="4" s="1"/>
  <c r="E11" i="4"/>
  <c r="F10" i="4" s="1"/>
  <c r="E18" i="4"/>
  <c r="D12" i="4"/>
  <c r="E26" i="4"/>
  <c r="E27" i="4" s="1"/>
  <c r="C60" i="2"/>
  <c r="D62" i="1"/>
  <c r="C63" i="1"/>
  <c r="E12" i="4" l="1"/>
  <c r="E5" i="4"/>
  <c r="F4" i="4"/>
  <c r="G3" i="4" s="1"/>
  <c r="F11" i="4"/>
  <c r="C61" i="2"/>
  <c r="C63" i="2" s="1"/>
  <c r="C67" i="2" s="1"/>
  <c r="E19" i="4"/>
  <c r="E20" i="4" s="1"/>
  <c r="F12" i="4" l="1"/>
  <c r="G10" i="4"/>
  <c r="F18" i="4"/>
  <c r="F5" i="4"/>
  <c r="C70" i="2"/>
  <c r="C72" i="2"/>
  <c r="D69" i="2"/>
  <c r="D68" i="2"/>
  <c r="G4" i="4"/>
  <c r="H3" i="4" s="1"/>
  <c r="G11" i="4"/>
  <c r="G12" i="4" s="1"/>
  <c r="H10" i="4" l="1"/>
  <c r="H11" i="4" s="1"/>
  <c r="H12" i="4" s="1"/>
  <c r="F19" i="4"/>
  <c r="F20" i="4" s="1"/>
  <c r="D4" i="6"/>
  <c r="D6" i="6" s="1"/>
  <c r="D9" i="6" s="1"/>
  <c r="D12" i="6" s="1"/>
  <c r="D16" i="6" s="1"/>
  <c r="D18" i="6" s="1"/>
  <c r="C3" i="2"/>
  <c r="C5" i="2" s="1"/>
  <c r="C8" i="2" s="1"/>
  <c r="G5" i="4"/>
  <c r="H4" i="4"/>
  <c r="I3" i="4" s="1"/>
  <c r="C71" i="2"/>
  <c r="D70" i="2"/>
  <c r="D19" i="6" l="1"/>
  <c r="D20" i="6"/>
  <c r="H5" i="4"/>
  <c r="E12" i="6"/>
  <c r="E16" i="6" s="1"/>
  <c r="E18" i="6" s="1"/>
  <c r="C50" i="2"/>
  <c r="C18" i="2"/>
  <c r="C10" i="2"/>
  <c r="C34" i="2"/>
  <c r="C26" i="2"/>
  <c r="C42" i="2"/>
  <c r="I10" i="4"/>
  <c r="I11" i="4" s="1"/>
  <c r="I12" i="4" s="1"/>
  <c r="I4" i="4"/>
  <c r="I5" i="4" s="1"/>
  <c r="C3" i="1"/>
  <c r="E20" i="6" l="1"/>
  <c r="E19" i="6"/>
  <c r="C32" i="2"/>
  <c r="D27" i="2"/>
  <c r="D29" i="2"/>
  <c r="D28" i="2"/>
  <c r="D11" i="2"/>
  <c r="D12" i="2"/>
  <c r="D13" i="2"/>
  <c r="C30" i="2"/>
  <c r="C14" i="2"/>
  <c r="C16" i="2"/>
  <c r="C56" i="2"/>
  <c r="D53" i="2"/>
  <c r="D52" i="2"/>
  <c r="D51" i="2"/>
  <c r="C54" i="2"/>
  <c r="D36" i="2"/>
  <c r="C38" i="2"/>
  <c r="D35" i="2"/>
  <c r="C40" i="2"/>
  <c r="D37" i="2"/>
  <c r="C48" i="2"/>
  <c r="D45" i="2"/>
  <c r="D44" i="2"/>
  <c r="C46" i="2"/>
  <c r="D43" i="2"/>
  <c r="C22" i="2"/>
  <c r="D19" i="2"/>
  <c r="D21" i="2"/>
  <c r="D20" i="2"/>
  <c r="C24" i="2"/>
  <c r="F12" i="6"/>
  <c r="F16" i="6" s="1"/>
  <c r="F18" i="6" s="1"/>
  <c r="C6" i="1"/>
  <c r="C5" i="1"/>
  <c r="F20" i="6" l="1"/>
  <c r="F19" i="6"/>
  <c r="D46" i="2"/>
  <c r="C47" i="2"/>
  <c r="D30" i="2"/>
  <c r="C31" i="2"/>
  <c r="C8" i="1"/>
  <c r="C42" i="1" s="1"/>
  <c r="G12" i="6"/>
  <c r="G16" i="6" s="1"/>
  <c r="G18" i="6" s="1"/>
  <c r="C55" i="2"/>
  <c r="D54" i="2"/>
  <c r="C23" i="2"/>
  <c r="D22" i="2"/>
  <c r="D38" i="2"/>
  <c r="C39" i="2"/>
  <c r="D14" i="2"/>
  <c r="C15" i="2"/>
  <c r="C10" i="1" l="1"/>
  <c r="C14" i="1" s="1"/>
  <c r="C18" i="1"/>
  <c r="C34" i="1"/>
  <c r="C38" i="1" s="1"/>
  <c r="C50" i="1"/>
  <c r="D52" i="1" s="1"/>
  <c r="G20" i="6"/>
  <c r="G19" i="6"/>
  <c r="C26" i="1"/>
  <c r="D12" i="1" s="1"/>
  <c r="H12" i="6"/>
  <c r="H16" i="6" s="1"/>
  <c r="H18" i="6" s="1"/>
  <c r="C16" i="1"/>
  <c r="C30" i="1"/>
  <c r="D13" i="1"/>
  <c r="C48" i="1"/>
  <c r="C46" i="1"/>
  <c r="D44" i="1"/>
  <c r="D45" i="1"/>
  <c r="D43" i="1"/>
  <c r="C24" i="1"/>
  <c r="D20" i="1"/>
  <c r="C22" i="1"/>
  <c r="D19" i="1"/>
  <c r="D21" i="1"/>
  <c r="C40" i="1"/>
  <c r="D37" i="1"/>
  <c r="D36" i="1"/>
  <c r="D35" i="1"/>
  <c r="C56" i="1"/>
  <c r="D53" i="1"/>
  <c r="C54" i="1" l="1"/>
  <c r="D54" i="1" s="1"/>
  <c r="D51" i="1"/>
  <c r="D11" i="1"/>
  <c r="I12" i="6"/>
  <c r="H20" i="6"/>
  <c r="D27" i="1"/>
  <c r="D28" i="1"/>
  <c r="C32" i="1"/>
  <c r="D29" i="1"/>
  <c r="H19" i="6"/>
  <c r="C55" i="1"/>
  <c r="D38" i="1"/>
  <c r="C39" i="1"/>
  <c r="D22" i="1"/>
  <c r="C23" i="1"/>
  <c r="D46" i="1"/>
  <c r="C47" i="1"/>
  <c r="D14" i="1"/>
  <c r="C15" i="1"/>
  <c r="D30" i="1"/>
  <c r="C31" i="1"/>
  <c r="J12" i="6" l="1"/>
  <c r="J16" i="6" s="1"/>
  <c r="J18" i="6" s="1"/>
  <c r="J19" i="6" s="1"/>
  <c r="I16" i="6"/>
  <c r="I18" i="6" s="1"/>
  <c r="I19" i="6" s="1"/>
  <c r="I20" i="6"/>
  <c r="J20" i="6" l="1"/>
</calcChain>
</file>

<file path=xl/sharedStrings.xml><?xml version="1.0" encoding="utf-8"?>
<sst xmlns="http://schemas.openxmlformats.org/spreadsheetml/2006/main" count="289" uniqueCount="89">
  <si>
    <t>Variables</t>
  </si>
  <si>
    <t>Cost Estimates in the 2009 CPPOM (Deck Option)</t>
  </si>
  <si>
    <r>
      <t xml:space="preserve">Cost estimate in 2015-16 with a CPI percentage increase </t>
    </r>
    <r>
      <rPr>
        <b/>
        <sz val="12"/>
        <color rgb="FF000000"/>
        <rFont val="Calibri"/>
        <family val="2"/>
        <charset val="1"/>
      </rPr>
      <t>each year</t>
    </r>
    <r>
      <rPr>
        <sz val="12"/>
        <color rgb="FF000000"/>
        <rFont val="Calibri"/>
        <family val="2"/>
        <charset val="1"/>
      </rPr>
      <t xml:space="preserve"> of…</t>
    </r>
  </si>
  <si>
    <t>Estimate of Wharf Timber Cladding</t>
  </si>
  <si>
    <t>Sub-Total</t>
  </si>
  <si>
    <t>Council CIP Contribution at the following percentage of total cost (as per CPPOM)</t>
  </si>
  <si>
    <t>Equity in Church Point Fund at 2015-16</t>
  </si>
  <si>
    <t>Balance</t>
  </si>
  <si>
    <t>Loan Scenario 1 (LIRS + 60 Private Leased)</t>
  </si>
  <si>
    <t>Average annual repayment on a 10 year NSW Govt Low Interest Rate Loan at the following fixed rate</t>
  </si>
  <si>
    <t>Proportion of repayment</t>
  </si>
  <si>
    <t>Income from for the following number of private least spaces at $4,800 each</t>
  </si>
  <si>
    <t>Parking Metres and Fines (as per 2013-14 amount)</t>
  </si>
  <si>
    <t>Income From 220 Commuter Boat Permits at the following average annual price</t>
  </si>
  <si>
    <t>Average cost per Permit over 10 years for the following average number of Permits</t>
  </si>
  <si>
    <t>If repayment is graduated to rise at 3% per annum for the first 5 years, the first year Permit Fee is…</t>
  </si>
  <si>
    <t>Loan Scenario 2 (LIRS + 30 Private Leases)</t>
  </si>
  <si>
    <t>Loan Scenario 3 (10 Years Non- LIRS + 60 Private Leases</t>
  </si>
  <si>
    <r>
      <t xml:space="preserve">Average annual repayment on a </t>
    </r>
    <r>
      <rPr>
        <b/>
        <sz val="12"/>
        <color rgb="FF000000"/>
        <rFont val="Calibri"/>
        <family val="2"/>
        <charset val="1"/>
      </rPr>
      <t>10 year</t>
    </r>
    <r>
      <rPr>
        <sz val="12"/>
        <color rgb="FF000000"/>
        <rFont val="Calibri"/>
        <family val="2"/>
        <charset val="1"/>
      </rPr>
      <t xml:space="preserve"> commercial loan at the following fixed rate</t>
    </r>
  </si>
  <si>
    <t>Scenario 4 (15 Years Fixed - 60 Private Leases)</t>
  </si>
  <si>
    <r>
      <t xml:space="preserve">Average annual repayment on a </t>
    </r>
    <r>
      <rPr>
        <b/>
        <sz val="12"/>
        <color rgb="FF000000"/>
        <rFont val="Calibri"/>
        <family val="2"/>
        <charset val="1"/>
      </rPr>
      <t>15 year</t>
    </r>
    <r>
      <rPr>
        <sz val="12"/>
        <color rgb="FF000000"/>
        <rFont val="Calibri"/>
        <family val="2"/>
        <charset val="1"/>
      </rPr>
      <t xml:space="preserve"> commercial loan at the following fixed rate</t>
    </r>
  </si>
  <si>
    <t>Average cost per Permit over 15 years for the following average number of Permits</t>
  </si>
  <si>
    <t>Loan Scenario 5 (15 Years - 30 Private Leases)</t>
  </si>
  <si>
    <t>Average cost per Permit over 15 years for the following average number of Permits</t>
  </si>
  <si>
    <t>Loan Scenario 6 (15 Years - 0 Private Leases)</t>
  </si>
  <si>
    <t>Loan Scenario 7 (Option 1 - 15 years)</t>
  </si>
  <si>
    <t>15 year loan scenario with only 30 spaces privately leased</t>
  </si>
  <si>
    <t>Cost Estimates in the 2009 CPPOM (No Deck Option)</t>
  </si>
  <si>
    <t>Equity in Church Point Fund at end of 2014-15</t>
  </si>
  <si>
    <t>DECK OPTION COST</t>
  </si>
  <si>
    <t>Estimates in the April 2013 Hyder Report</t>
  </si>
  <si>
    <t>Loan Scenario 2 (LIRS + 40 Private Leases)</t>
  </si>
  <si>
    <t>Loan Scenario 5 (15 Years - 40 Private Leases)</t>
  </si>
  <si>
    <t>Ground Floor Option only - Hyder Option</t>
  </si>
  <si>
    <t>Assuming Trend Increase</t>
  </si>
  <si>
    <t>2010-11</t>
  </si>
  <si>
    <t>2011-12</t>
  </si>
  <si>
    <t>2012-13</t>
  </si>
  <si>
    <t>2013-14</t>
  </si>
  <si>
    <t>2014-15</t>
  </si>
  <si>
    <t>2015-16</t>
  </si>
  <si>
    <t>Income</t>
  </si>
  <si>
    <t>Fines</t>
  </si>
  <si>
    <t>Parking Machines</t>
  </si>
  <si>
    <t>Parking Stickers</t>
  </si>
  <si>
    <t>Boat Stickers</t>
  </si>
  <si>
    <t>Total</t>
  </si>
  <si>
    <t>Expenditure</t>
  </si>
  <si>
    <t>Carpark Works</t>
  </si>
  <si>
    <t>Commuter Wharf</t>
  </si>
  <si>
    <t>Other</t>
  </si>
  <si>
    <t>P/L</t>
  </si>
  <si>
    <t>Equity</t>
  </si>
  <si>
    <t>Option 2 - With Deck (CPPOM)</t>
  </si>
  <si>
    <t>2009-10</t>
  </si>
  <si>
    <t>Construction Costs</t>
  </si>
  <si>
    <t>Increase per year</t>
  </si>
  <si>
    <t>Cumulative Increase</t>
  </si>
  <si>
    <t>Note: the $5.2M is from the 2009 CPPOM and is thus taken as the estimate for 2009-10</t>
  </si>
  <si>
    <t>Option 1 - Without Deck (CPPOM)</t>
  </si>
  <si>
    <t>Option 2 - With Deck Hyder Figures</t>
  </si>
  <si>
    <t>Option 1 - Without Deck Hyder Figures</t>
  </si>
  <si>
    <t>Cost Estimates 2009 CPPOM</t>
  </si>
  <si>
    <t>Grant or Council Contribution</t>
  </si>
  <si>
    <t>Actual Costs</t>
  </si>
  <si>
    <t>Balance</t>
  </si>
  <si>
    <t>Commuter Boat Wharf</t>
  </si>
  <si>
    <t>With Deck Option</t>
  </si>
  <si>
    <t>Without Deck Option</t>
  </si>
  <si>
    <t>CPPOM</t>
  </si>
  <si>
    <t>Assumed No. of Permits Sold</t>
  </si>
  <si>
    <t>Flat Fee</t>
  </si>
  <si>
    <t>First Year Fee if Indexed</t>
  </si>
  <si>
    <t>Boat Permit</t>
  </si>
  <si>
    <t>Vehicle Permit</t>
  </si>
  <si>
    <t>Fees Adjusted for Actual Amount Sold</t>
  </si>
  <si>
    <t>ACTUAL*</t>
  </si>
  <si>
    <t>Actual No. of Permits Sold</t>
  </si>
  <si>
    <t>*The fees in the above "Actual" table do not include impact of Church Point Reserve Fund accrual, nor the fact that the actual wharf consrtuction cast was less than half of the projected cost</t>
  </si>
  <si>
    <t>Council CIP Contribution to the construction of the seawall and boardwalk ($1.3M indexed at 5% per annum over 3 years)</t>
  </si>
  <si>
    <t xml:space="preserve">Loan Scenario </t>
  </si>
  <si>
    <t>Estimates in the April 2013 Hyder Report (minus contingency)</t>
  </si>
  <si>
    <t>Sea Wall only contingency</t>
  </si>
  <si>
    <t>Estimate + Contingency (Note Hyder = 10%)</t>
  </si>
  <si>
    <t>Income from for the following number of private least spaces at $4,900 each</t>
  </si>
  <si>
    <t>Percentage of Parking Metres and Fines (as per 2013-14 amount) contributed</t>
  </si>
  <si>
    <t xml:space="preserve">Contribution to ongoing maintenance of the new infrastrusture (note: this is not depreciation) </t>
  </si>
  <si>
    <t>NOTE: You can alter any cell that has a Yellow Highlight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</si>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</sst>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quot;-$&quot;* #,##0.00_-;_-\$* \-??_-;_-@_-"/>
    <numFmt numFmtId="165" formatCode="_-\$* #,##0_-;&quot;-$&quot;* #,##0_-;_-\$* \-??_-;_-@_-"/>
    <numFmt numFmtId="166" formatCode="\$#,##0;[Red]&quot;-$&quot;#,##0"/>
    <numFmt numFmtId="167" formatCode="0.0%"/>
    <numFmt numFmtId="168" formatCode="_-* #,##0.00_-;\-* #,##0.00_-;_-* \-??_-;_-@_-"/>
    <numFmt numFmtId="169" formatCode="_-* #,##0_-;\-* #,##0_-;_-* \-??_-;_-@_-"/>
    <numFmt numFmtId="170" formatCode="_-* #,##0_-;\-* #,##0_-;_-* &quot;-&quot;??_-;_-@_-"/>
  </numFmts>
  <fonts count="16" x14ac:knownFonts="1">
    <font>
      <sz val="12"/>
      <color rgb="FF000000"/>
      <name val="Calibri"/>
      <family val="2"/>
      <charset val="1"/>
    </font>
    <font>
      <sz val="8"/>
      <color rgb="FF000000"/>
      <name val="Calibri"/>
      <family val="2"/>
      <charset val="1"/>
    </font>
    <font>
      <b/>
      <sz val="12"/>
      <color rgb="FF000000"/>
      <name val="Calibri"/>
      <family val="2"/>
      <charset val="1"/>
    </font>
    <font>
      <b/>
      <i/>
      <sz val="12"/>
      <color rgb="FF000000"/>
      <name val="Calibri"/>
      <family val="2"/>
      <charset val="1"/>
    </font>
    <font>
      <b/>
      <sz val="14"/>
      <color rgb="FFFFFFFF"/>
      <name val="Calibri"/>
      <family val="2"/>
      <charset val="1"/>
    </font>
    <font>
      <b/>
      <sz val="12"/>
      <color rgb="FFFF0000"/>
      <name val="Calibri"/>
      <family val="2"/>
      <charset val="1"/>
    </font>
    <font>
      <b/>
      <sz val="12"/>
      <name val="Calibri"/>
      <family val="2"/>
      <charset val="1"/>
    </font>
    <font>
      <b/>
      <sz val="16"/>
      <color rgb="FF000000"/>
      <name val="Calibri"/>
      <family val="2"/>
      <charset val="1"/>
    </font>
    <font>
      <b/>
      <sz val="14"/>
      <color rgb="FF000000"/>
      <name val="Calibri"/>
      <family val="2"/>
      <charset val="1"/>
    </font>
    <font>
      <i/>
      <sz val="10"/>
      <color rgb="FF000000"/>
      <name val="Calibri"/>
      <family val="2"/>
      <charset val="1"/>
    </font>
    <font>
      <b/>
      <sz val="18"/>
      <color rgb="FF000000"/>
      <name val="Calibri"/>
      <family val="2"/>
      <charset val="1"/>
    </font>
    <font>
      <i/>
      <sz val="12"/>
      <color rgb="FF000000"/>
      <name val="Calibri"/>
      <family val="2"/>
      <charset val="1"/>
    </font>
    <font>
      <sz val="12"/>
      <color rgb="FF000000"/>
      <name val="Calibri"/>
      <family val="2"/>
      <charset val="1"/>
    </font>
    <font>
      <sz val="11"/>
      <color rgb="FF000000"/>
      <name val="Calibri"/>
      <family val="2"/>
      <charset val="1"/>
    </font>
    <font>
      <b/>
      <sz val="12"/>
      <color rgb="FF000000"/>
      <name val="Calibri"/>
      <family val="2"/>
    </font>
    <font>
      <b/>
      <sz val="12"/>
      <color theme="4" tint="-0.249977111117893"/>
      <name val="Calibri"/>
      <family val="2"/>
    </font>
  </fonts>
  <fills count="6">
    <fill>
      <patternFill patternType="none"/>
    </fill>
    <fill>
      <patternFill patternType="gray125"/>
    </fill>
    <fill>
      <patternFill patternType="solid">
        <fgColor rgb="FF000000"/>
        <bgColor rgb="FF003300"/>
      </patternFill>
    </fill>
    <fill>
      <patternFill patternType="solid">
        <fgColor rgb="FFFFFF00"/>
        <bgColor rgb="FFFFFF00"/>
      </patternFill>
    </fill>
    <fill>
      <patternFill patternType="solid">
        <fgColor theme="0"/>
        <bgColor indexed="64"/>
      </patternFill>
    </fill>
    <fill>
      <patternFill patternType="solid">
        <fgColor rgb="FFFFFF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168" fontId="12" fillId="0" borderId="0"/>
    <xf numFmtId="164" fontId="12" fillId="0" borderId="0"/>
    <xf numFmtId="9" fontId="12" fillId="0" borderId="0"/>
  </cellStyleXfs>
  <cellXfs count="117">
    <xf numFmtId="0" fontId="0" fillId="0" borderId="0" xfId="0"/>
    <xf numFmtId="0" fontId="1" fillId="0" borderId="1" xfId="0" applyFont="1" applyBorder="1"/>
    <xf numFmtId="0" fontId="0" fillId="0" borderId="1" xfId="0" applyFont="1" applyBorder="1" applyAlignment="1">
      <alignment horizontal="left" wrapText="1"/>
    </xf>
    <xf numFmtId="165" fontId="0" fillId="0" borderId="1" xfId="2" applyNumberFormat="1" applyFont="1" applyBorder="1" applyAlignment="1" applyProtection="1">
      <alignment horizontal="right"/>
    </xf>
    <xf numFmtId="9" fontId="0" fillId="0" borderId="1" xfId="0" applyNumberFormat="1" applyBorder="1" applyAlignment="1">
      <alignment horizontal="center" wrapText="1"/>
    </xf>
    <xf numFmtId="0" fontId="0" fillId="0" borderId="1" xfId="0" applyFont="1" applyBorder="1" applyAlignment="1">
      <alignment horizontal="right" wrapText="1"/>
    </xf>
    <xf numFmtId="0" fontId="0" fillId="0" borderId="1" xfId="0" applyFont="1" applyBorder="1" applyAlignment="1">
      <alignment horizontal="left" wrapText="1"/>
    </xf>
    <xf numFmtId="165" fontId="0" fillId="0" borderId="1" xfId="2" applyNumberFormat="1" applyFont="1" applyBorder="1" applyAlignment="1" applyProtection="1">
      <alignment horizontal="right" vertical="center"/>
    </xf>
    <xf numFmtId="0" fontId="3" fillId="0" borderId="1" xfId="0" applyFont="1" applyBorder="1" applyAlignment="1">
      <alignment horizontal="right"/>
    </xf>
    <xf numFmtId="0" fontId="0" fillId="0" borderId="2" xfId="0" applyBorder="1" applyAlignment="1">
      <alignment horizontal="right"/>
    </xf>
    <xf numFmtId="165" fontId="0" fillId="0" borderId="2" xfId="2" applyNumberFormat="1" applyFont="1" applyBorder="1" applyAlignment="1" applyProtection="1">
      <alignment horizontal="right"/>
    </xf>
    <xf numFmtId="10" fontId="5" fillId="0" borderId="1" xfId="0" applyNumberFormat="1" applyFont="1" applyBorder="1" applyAlignment="1">
      <alignment horizontal="center" wrapText="1"/>
    </xf>
    <xf numFmtId="0" fontId="0" fillId="0" borderId="1" xfId="0" applyFont="1" applyBorder="1" applyAlignment="1">
      <alignment horizontal="center" wrapText="1"/>
    </xf>
    <xf numFmtId="0" fontId="0" fillId="0" borderId="1" xfId="0" applyFont="1" applyBorder="1" applyAlignment="1">
      <alignment wrapText="1"/>
    </xf>
    <xf numFmtId="9" fontId="0" fillId="0" borderId="1" xfId="3" applyFont="1" applyBorder="1" applyAlignment="1" applyProtection="1">
      <alignment horizontal="center"/>
    </xf>
    <xf numFmtId="0" fontId="0" fillId="0" borderId="2" xfId="0" applyFont="1" applyBorder="1" applyAlignment="1">
      <alignment wrapText="1"/>
    </xf>
    <xf numFmtId="166" fontId="0" fillId="0" borderId="2" xfId="0" applyNumberFormat="1" applyBorder="1" applyAlignment="1">
      <alignment horizontal="center" wrapText="1"/>
    </xf>
    <xf numFmtId="0" fontId="3" fillId="0" borderId="2" xfId="0" applyFont="1" applyBorder="1" applyAlignment="1">
      <alignment horizontal="right" wrapText="1"/>
    </xf>
    <xf numFmtId="165" fontId="0" fillId="0" borderId="2" xfId="2" applyNumberFormat="1" applyFont="1" applyBorder="1" applyAlignment="1" applyProtection="1"/>
    <xf numFmtId="0" fontId="0" fillId="0" borderId="1" xfId="0" applyFont="1" applyBorder="1" applyAlignment="1">
      <alignment wrapText="1"/>
    </xf>
    <xf numFmtId="0" fontId="0" fillId="0" borderId="4" xfId="0" applyBorder="1" applyAlignment="1">
      <alignment horizontal="center" wrapText="1"/>
    </xf>
    <xf numFmtId="165" fontId="0" fillId="0" borderId="4" xfId="2" applyNumberFormat="1" applyFont="1" applyBorder="1" applyAlignment="1" applyProtection="1"/>
    <xf numFmtId="0" fontId="0" fillId="0" borderId="5" xfId="0" applyBorder="1" applyAlignment="1">
      <alignment wrapText="1"/>
    </xf>
    <xf numFmtId="9" fontId="0" fillId="0" borderId="0" xfId="0" applyNumberFormat="1"/>
    <xf numFmtId="167" fontId="5" fillId="0" borderId="1" xfId="0" applyNumberFormat="1" applyFont="1" applyBorder="1" applyAlignment="1">
      <alignment horizontal="center" wrapText="1"/>
    </xf>
    <xf numFmtId="165" fontId="0" fillId="0" borderId="1" xfId="2" applyNumberFormat="1" applyFont="1" applyBorder="1" applyAlignment="1" applyProtection="1"/>
    <xf numFmtId="0" fontId="0" fillId="0" borderId="4" xfId="0" applyBorder="1" applyAlignment="1">
      <alignment wrapText="1"/>
    </xf>
    <xf numFmtId="0" fontId="0" fillId="3" borderId="0" xfId="0" applyFont="1" applyFill="1"/>
    <xf numFmtId="0" fontId="2" fillId="0" borderId="1" xfId="0" applyFont="1" applyBorder="1" applyAlignment="1">
      <alignment horizontal="center" wrapText="1"/>
    </xf>
    <xf numFmtId="0" fontId="6" fillId="0" borderId="1" xfId="0" applyFont="1" applyBorder="1" applyAlignment="1">
      <alignment horizontal="center"/>
    </xf>
    <xf numFmtId="169" fontId="0" fillId="0" borderId="1" xfId="1" applyNumberFormat="1" applyFont="1" applyBorder="1" applyAlignment="1" applyProtection="1"/>
    <xf numFmtId="169" fontId="0" fillId="0" borderId="1" xfId="1" applyNumberFormat="1" applyFont="1" applyBorder="1" applyAlignment="1" applyProtection="1">
      <alignment horizontal="center"/>
    </xf>
    <xf numFmtId="0" fontId="0" fillId="0" borderId="7" xfId="0" applyBorder="1" applyAlignment="1">
      <alignment horizontal="left"/>
    </xf>
    <xf numFmtId="0" fontId="2" fillId="0" borderId="8" xfId="0" applyFont="1" applyBorder="1" applyAlignment="1">
      <alignment horizontal="right"/>
    </xf>
    <xf numFmtId="169" fontId="0" fillId="0" borderId="2" xfId="1" applyNumberFormat="1" applyFont="1" applyBorder="1" applyAlignment="1" applyProtection="1"/>
    <xf numFmtId="169" fontId="0" fillId="0" borderId="2" xfId="1" applyNumberFormat="1" applyFont="1" applyBorder="1" applyAlignment="1" applyProtection="1">
      <alignment horizontal="center"/>
    </xf>
    <xf numFmtId="169" fontId="2" fillId="0" borderId="1" xfId="1" applyNumberFormat="1" applyFont="1" applyBorder="1" applyAlignment="1" applyProtection="1"/>
    <xf numFmtId="169" fontId="0" fillId="0" borderId="0" xfId="0" applyNumberFormat="1"/>
    <xf numFmtId="0" fontId="0" fillId="0" borderId="0" xfId="0" applyBorder="1" applyAlignment="1">
      <alignment horizontal="center" vertical="center"/>
    </xf>
    <xf numFmtId="0" fontId="0" fillId="0" borderId="0" xfId="0" applyBorder="1" applyAlignment="1">
      <alignment horizontal="left"/>
    </xf>
    <xf numFmtId="169" fontId="0" fillId="0" borderId="0" xfId="1" applyNumberFormat="1" applyFont="1" applyBorder="1" applyAlignment="1" applyProtection="1"/>
    <xf numFmtId="0" fontId="2" fillId="0" borderId="1" xfId="0" applyFont="1" applyBorder="1" applyAlignment="1">
      <alignment horizontal="center"/>
    </xf>
    <xf numFmtId="169" fontId="0" fillId="0" borderId="1" xfId="0" applyNumberFormat="1" applyBorder="1"/>
    <xf numFmtId="169" fontId="2" fillId="0" borderId="1" xfId="0" applyNumberFormat="1" applyFont="1" applyBorder="1"/>
    <xf numFmtId="0" fontId="2" fillId="0" borderId="0" xfId="0" applyFont="1"/>
    <xf numFmtId="9" fontId="0" fillId="0" borderId="1" xfId="0" applyNumberFormat="1" applyBorder="1"/>
    <xf numFmtId="0" fontId="0" fillId="0" borderId="1" xfId="0" applyFont="1" applyBorder="1" applyAlignment="1">
      <alignment horizontal="center"/>
    </xf>
    <xf numFmtId="166" fontId="2" fillId="0" borderId="0" xfId="0" applyNumberFormat="1" applyFont="1" applyBorder="1" applyAlignment="1">
      <alignment horizontal="center" vertical="center"/>
    </xf>
    <xf numFmtId="0" fontId="2" fillId="0" borderId="0" xfId="0" applyFont="1" applyAlignment="1">
      <alignment horizontal="center"/>
    </xf>
    <xf numFmtId="0" fontId="0" fillId="0" borderId="1" xfId="0" applyFont="1" applyBorder="1"/>
    <xf numFmtId="166" fontId="0" fillId="0" borderId="0" xfId="0" applyNumberFormat="1" applyBorder="1" applyAlignment="1">
      <alignment horizontal="center" vertical="center"/>
    </xf>
    <xf numFmtId="0" fontId="0" fillId="0" borderId="0" xfId="0" applyBorder="1"/>
    <xf numFmtId="0" fontId="0" fillId="0" borderId="0" xfId="0" applyBorder="1" applyAlignment="1">
      <alignment horizontal="center"/>
    </xf>
    <xf numFmtId="169" fontId="0" fillId="0" borderId="0" xfId="0" applyNumberFormat="1" applyBorder="1"/>
    <xf numFmtId="0" fontId="7" fillId="0" borderId="1" xfId="0" applyFont="1" applyBorder="1" applyAlignment="1">
      <alignment horizontal="left"/>
    </xf>
    <xf numFmtId="0" fontId="0" fillId="0" borderId="0" xfId="0" applyAlignment="1">
      <alignment horizontal="center"/>
    </xf>
    <xf numFmtId="0" fontId="0" fillId="0" borderId="0" xfId="0" applyAlignment="1">
      <alignment horizontal="right"/>
    </xf>
    <xf numFmtId="0" fontId="2" fillId="0" borderId="0" xfId="0" applyFont="1" applyAlignment="1">
      <alignment horizontal="right"/>
    </xf>
    <xf numFmtId="169" fontId="2" fillId="0" borderId="2" xfId="1" applyNumberFormat="1" applyFont="1" applyBorder="1" applyAlignment="1" applyProtection="1"/>
    <xf numFmtId="0" fontId="10" fillId="0" borderId="1" xfId="0" applyFont="1" applyBorder="1"/>
    <xf numFmtId="169" fontId="0" fillId="0" borderId="10" xfId="0" applyNumberFormat="1" applyFill="1" applyBorder="1"/>
    <xf numFmtId="0" fontId="4" fillId="2" borderId="3" xfId="0" applyFont="1" applyFill="1" applyBorder="1" applyAlignment="1">
      <alignment horizontal="center"/>
    </xf>
    <xf numFmtId="0" fontId="4" fillId="2" borderId="0" xfId="0" applyFont="1" applyFill="1" applyBorder="1" applyAlignment="1">
      <alignment horizontal="center"/>
    </xf>
    <xf numFmtId="165" fontId="0" fillId="0" borderId="4" xfId="2" applyNumberFormat="1" applyFont="1" applyBorder="1" applyAlignment="1" applyProtection="1">
      <alignment horizontal="right"/>
    </xf>
    <xf numFmtId="165" fontId="0" fillId="0" borderId="1" xfId="0" applyNumberFormat="1" applyFont="1" applyBorder="1" applyAlignment="1">
      <alignment horizontal="center" wrapText="1"/>
    </xf>
    <xf numFmtId="165" fontId="0" fillId="0" borderId="1" xfId="3" applyNumberFormat="1" applyFont="1" applyBorder="1" applyAlignment="1" applyProtection="1">
      <alignment horizontal="center"/>
    </xf>
    <xf numFmtId="170" fontId="0" fillId="0" borderId="4" xfId="2" applyNumberFormat="1" applyFont="1" applyBorder="1" applyAlignment="1" applyProtection="1"/>
    <xf numFmtId="0" fontId="0" fillId="0" borderId="1" xfId="0" applyFont="1" applyBorder="1" applyAlignment="1">
      <alignment horizontal="center" wrapText="1"/>
    </xf>
    <xf numFmtId="9" fontId="12" fillId="0" borderId="1" xfId="3" applyBorder="1" applyAlignment="1">
      <alignment horizontal="center"/>
    </xf>
    <xf numFmtId="165" fontId="14" fillId="0" borderId="1" xfId="2" applyNumberFormat="1" applyFont="1" applyBorder="1" applyAlignment="1" applyProtection="1">
      <alignment horizontal="right"/>
    </xf>
    <xf numFmtId="0" fontId="1" fillId="0" borderId="1" xfId="0" applyFont="1" applyBorder="1" applyAlignment="1">
      <alignment horizontal="center"/>
    </xf>
    <xf numFmtId="0" fontId="4" fillId="2" borderId="0" xfId="0" applyFont="1" applyFill="1" applyBorder="1" applyAlignment="1">
      <alignment horizontal="center"/>
    </xf>
    <xf numFmtId="165" fontId="0" fillId="4" borderId="1" xfId="2" applyNumberFormat="1" applyFont="1" applyFill="1" applyBorder="1" applyAlignment="1" applyProtection="1">
      <alignment horizontal="right"/>
    </xf>
    <xf numFmtId="9" fontId="0" fillId="4" borderId="1" xfId="0" applyNumberFormat="1" applyFill="1" applyBorder="1" applyAlignment="1">
      <alignment horizontal="center" wrapText="1"/>
    </xf>
    <xf numFmtId="0" fontId="4" fillId="2" borderId="0" xfId="0" applyFont="1" applyFill="1" applyBorder="1" applyAlignment="1">
      <alignment horizontal="center"/>
    </xf>
    <xf numFmtId="0" fontId="2" fillId="0" borderId="1" xfId="0" applyFont="1" applyBorder="1" applyAlignment="1">
      <alignment horizontal="center"/>
    </xf>
    <xf numFmtId="165" fontId="0" fillId="4" borderId="1" xfId="2" applyNumberFormat="1" applyFont="1" applyFill="1" applyBorder="1" applyAlignment="1" applyProtection="1">
      <alignment horizontal="right"/>
      <protection locked="0"/>
    </xf>
    <xf numFmtId="0" fontId="0" fillId="0" borderId="7" xfId="0" applyFont="1" applyBorder="1" applyAlignment="1">
      <alignment horizontal="left" wrapText="1"/>
    </xf>
    <xf numFmtId="165" fontId="0" fillId="4" borderId="8" xfId="2" applyNumberFormat="1" applyFont="1" applyFill="1" applyBorder="1" applyAlignment="1" applyProtection="1">
      <alignment horizontal="right"/>
    </xf>
    <xf numFmtId="9" fontId="0" fillId="4" borderId="2" xfId="0" applyNumberFormat="1" applyFont="1" applyFill="1" applyBorder="1" applyAlignment="1">
      <alignment horizontal="center" wrapText="1"/>
    </xf>
    <xf numFmtId="9" fontId="0" fillId="4" borderId="12" xfId="0" applyNumberFormat="1" applyFill="1" applyBorder="1" applyAlignment="1">
      <alignment horizontal="center" wrapText="1"/>
    </xf>
    <xf numFmtId="9" fontId="0" fillId="5" borderId="11" xfId="0" applyNumberFormat="1" applyFill="1" applyBorder="1" applyAlignment="1" applyProtection="1">
      <alignment horizontal="center" wrapText="1"/>
      <protection locked="0"/>
    </xf>
    <xf numFmtId="0" fontId="0" fillId="0" borderId="7" xfId="0" applyFont="1" applyBorder="1" applyAlignment="1">
      <alignment wrapText="1"/>
    </xf>
    <xf numFmtId="165" fontId="0" fillId="0" borderId="8" xfId="2" applyNumberFormat="1" applyFont="1" applyBorder="1" applyAlignment="1" applyProtection="1">
      <alignment horizontal="right"/>
    </xf>
    <xf numFmtId="10" fontId="5" fillId="5" borderId="11" xfId="0" applyNumberFormat="1" applyFont="1" applyFill="1" applyBorder="1" applyAlignment="1" applyProtection="1">
      <alignment horizontal="center" wrapText="1"/>
      <protection locked="0"/>
    </xf>
    <xf numFmtId="0" fontId="0" fillId="4" borderId="7" xfId="0" applyFont="1" applyFill="1" applyBorder="1" applyAlignment="1">
      <alignment wrapText="1"/>
    </xf>
    <xf numFmtId="0" fontId="0" fillId="0" borderId="4" xfId="0" applyFont="1" applyBorder="1" applyAlignment="1">
      <alignment horizontal="center" wrapText="1"/>
    </xf>
    <xf numFmtId="166" fontId="0" fillId="0" borderId="4" xfId="0" applyNumberFormat="1" applyBorder="1" applyAlignment="1">
      <alignment horizontal="center" wrapText="1"/>
    </xf>
    <xf numFmtId="9" fontId="0" fillId="5" borderId="11" xfId="0" applyNumberFormat="1" applyFont="1" applyFill="1" applyBorder="1" applyAlignment="1" applyProtection="1">
      <alignment horizontal="center" wrapText="1"/>
      <protection locked="0"/>
    </xf>
    <xf numFmtId="0" fontId="0" fillId="0" borderId="7" xfId="0" applyFont="1" applyFill="1" applyBorder="1" applyAlignment="1">
      <alignment wrapText="1"/>
    </xf>
    <xf numFmtId="165" fontId="0" fillId="0" borderId="13" xfId="2" applyNumberFormat="1" applyFont="1" applyBorder="1" applyAlignment="1" applyProtection="1">
      <alignment horizontal="right"/>
    </xf>
    <xf numFmtId="170" fontId="0" fillId="0" borderId="14" xfId="2" applyNumberFormat="1" applyFont="1" applyBorder="1" applyAlignment="1" applyProtection="1"/>
    <xf numFmtId="0" fontId="0" fillId="0" borderId="12" xfId="0" applyBorder="1" applyAlignment="1">
      <alignment wrapText="1"/>
    </xf>
    <xf numFmtId="0" fontId="0" fillId="5" borderId="11" xfId="0" applyFill="1" applyBorder="1" applyAlignment="1" applyProtection="1">
      <alignment horizontal="center" wrapText="1"/>
      <protection locked="0"/>
    </xf>
    <xf numFmtId="0" fontId="0" fillId="0" borderId="5" xfId="0" applyFont="1" applyBorder="1" applyAlignment="1">
      <alignment horizontal="right" wrapText="1"/>
    </xf>
    <xf numFmtId="166" fontId="0" fillId="5" borderId="18" xfId="0" applyNumberFormat="1" applyFill="1" applyBorder="1" applyAlignment="1" applyProtection="1">
      <alignment horizontal="center" wrapText="1"/>
      <protection locked="0"/>
    </xf>
    <xf numFmtId="166" fontId="0" fillId="0" borderId="1" xfId="0" applyNumberFormat="1" applyBorder="1" applyAlignment="1">
      <alignment horizontal="center" wrapText="1"/>
    </xf>
    <xf numFmtId="9" fontId="0" fillId="4" borderId="7" xfId="0" applyNumberFormat="1" applyFill="1" applyBorder="1" applyAlignment="1">
      <alignment horizontal="center" wrapText="1"/>
    </xf>
    <xf numFmtId="165" fontId="0" fillId="4" borderId="2" xfId="2" applyNumberFormat="1" applyFont="1" applyFill="1" applyBorder="1" applyAlignment="1" applyProtection="1">
      <alignment horizontal="right"/>
    </xf>
    <xf numFmtId="165" fontId="0" fillId="0" borderId="12" xfId="2" applyNumberFormat="1" applyFont="1" applyBorder="1" applyAlignment="1" applyProtection="1">
      <alignment horizontal="right" vertical="center"/>
    </xf>
    <xf numFmtId="0" fontId="4" fillId="2" borderId="3" xfId="0" applyFont="1" applyFill="1" applyBorder="1" applyAlignment="1">
      <alignment horizontal="center"/>
    </xf>
    <xf numFmtId="165" fontId="13" fillId="0" borderId="1" xfId="0" applyNumberFormat="1" applyFont="1" applyBorder="1" applyAlignment="1">
      <alignment horizontal="center" wrapText="1"/>
    </xf>
    <xf numFmtId="0" fontId="15" fillId="5" borderId="15" xfId="0" applyFont="1" applyFill="1" applyBorder="1" applyAlignment="1">
      <alignment horizontal="center" vertical="center"/>
    </xf>
    <xf numFmtId="0" fontId="15" fillId="5" borderId="16" xfId="0" applyFont="1" applyFill="1" applyBorder="1" applyAlignment="1">
      <alignment horizontal="center" vertical="center"/>
    </xf>
    <xf numFmtId="0" fontId="15" fillId="5" borderId="17" xfId="0" applyFont="1" applyFill="1" applyBorder="1" applyAlignment="1">
      <alignment horizontal="center" vertical="center"/>
    </xf>
    <xf numFmtId="0" fontId="4" fillId="2" borderId="0" xfId="0" applyFont="1" applyFill="1" applyBorder="1" applyAlignment="1">
      <alignment horizontal="center"/>
    </xf>
    <xf numFmtId="0" fontId="0" fillId="0" borderId="1" xfId="0" applyFont="1" applyBorder="1" applyAlignment="1">
      <alignment horizontal="center" wrapText="1"/>
    </xf>
    <xf numFmtId="0" fontId="8" fillId="0" borderId="1" xfId="0" applyFont="1" applyBorder="1" applyAlignment="1">
      <alignment horizontal="right"/>
    </xf>
    <xf numFmtId="0" fontId="7" fillId="0" borderId="7" xfId="0" applyFont="1" applyBorder="1" applyAlignment="1">
      <alignment horizontal="center" vertical="center"/>
    </xf>
    <xf numFmtId="0" fontId="0" fillId="0" borderId="1" xfId="0" applyFont="1" applyBorder="1" applyAlignment="1">
      <alignment horizontal="left"/>
    </xf>
    <xf numFmtId="0" fontId="2" fillId="0" borderId="1" xfId="0" applyFont="1" applyBorder="1" applyAlignment="1">
      <alignment horizontal="right"/>
    </xf>
    <xf numFmtId="0" fontId="2" fillId="0" borderId="1" xfId="0" applyFont="1" applyBorder="1" applyAlignment="1">
      <alignment horizontal="center" wrapText="1"/>
    </xf>
    <xf numFmtId="0" fontId="0" fillId="0" borderId="6" xfId="0" applyBorder="1" applyAlignment="1">
      <alignment horizontal="center"/>
    </xf>
    <xf numFmtId="0" fontId="9" fillId="0" borderId="9" xfId="0" applyFont="1" applyBorder="1" applyAlignment="1">
      <alignment horizontal="left"/>
    </xf>
    <xf numFmtId="0" fontId="11" fillId="0" borderId="0" xfId="0" applyFont="1" applyBorder="1" applyAlignment="1">
      <alignment horizontal="left" wrapText="1"/>
    </xf>
    <xf numFmtId="0" fontId="2" fillId="0" borderId="1" xfId="0" applyFont="1" applyBorder="1" applyAlignment="1">
      <alignment horizontal="center"/>
    </xf>
    <xf numFmtId="165" fontId="12" fillId="5" borderId="11" xfId="2" applyNumberFormat="1" applyFill="1" applyBorder="1" applyProtection="1">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324553</xdr:colOff>
      <xdr:row>10</xdr:row>
      <xdr:rowOff>119945</xdr:rowOff>
    </xdr:from>
    <xdr:to>
      <xdr:col>3</xdr:col>
      <xdr:colOff>395105</xdr:colOff>
      <xdr:row>12</xdr:row>
      <xdr:rowOff>190500</xdr:rowOff>
    </xdr:to>
    <xdr:cxnSp macro="">
      <xdr:nvCxnSpPr>
        <xdr:cNvPr id="3" name="Curved Connector 2"/>
        <xdr:cNvCxnSpPr/>
      </xdr:nvCxnSpPr>
      <xdr:spPr>
        <a:xfrm flipV="1">
          <a:off x="5221109" y="2293056"/>
          <a:ext cx="733774" cy="698500"/>
        </a:xfrm>
        <a:prstGeom prst="curvedConnector3">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4173197abdcb9ec0/SIRA/Church%20Point/Fees/Church%20Point%20Fees%20Modelling%20-%20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Scenarios on CPPOM costs"/>
      <sheetName val=" Hyder 2"/>
      <sheetName val="Ground floor only"/>
      <sheetName val="Loan Scenarios with Hyder costs"/>
      <sheetName val="Reserve Fund "/>
      <sheetName val="Construction Costs"/>
      <sheetName val="Other figures"/>
    </sheetNames>
    <sheetDataSet>
      <sheetData sheetId="0"/>
      <sheetData sheetId="1"/>
      <sheetData sheetId="2"/>
      <sheetData sheetId="3"/>
      <sheetData sheetId="4">
        <row r="18">
          <cell r="I18">
            <v>1503571.47</v>
          </cell>
        </row>
      </sheetData>
      <sheetData sheetId="5">
        <row r="25">
          <cell r="C25">
            <v>5430000</v>
          </cell>
          <cell r="E25">
            <v>5986575</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ankwest.com.au/business/business-loans/calculators/business-repayments-calculato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showGridLines="0" tabSelected="1" zoomScale="93" zoomScaleNormal="93" workbookViewId="0">
      <selection activeCell="M18" sqref="M18"/>
    </sheetView>
  </sheetViews>
  <sheetFormatPr defaultRowHeight="15.75" x14ac:dyDescent="0.25"/>
  <cols>
    <col min="1" max="1" width="3.375" customWidth="1"/>
    <col min="2" max="2" width="60.875" customWidth="1"/>
    <col min="4" max="4" width="13.625" customWidth="1"/>
    <col min="5" max="5" width="12.625" customWidth="1"/>
    <col min="6" max="6" width="11.625" customWidth="1"/>
    <col min="7" max="7" width="12.375" customWidth="1"/>
    <col min="8" max="8" width="12.125" customWidth="1"/>
    <col min="9" max="9" width="12" customWidth="1"/>
    <col min="10" max="10" width="12.875" customWidth="1"/>
  </cols>
  <sheetData>
    <row r="1" spans="2:10" x14ac:dyDescent="0.25">
      <c r="B1" t="s">
        <v>29</v>
      </c>
      <c r="C1" s="70" t="s">
        <v>0</v>
      </c>
      <c r="F1" s="101" t="s">
        <v>82</v>
      </c>
    </row>
    <row r="2" spans="2:10" ht="16.350000000000001" customHeight="1" x14ac:dyDescent="0.25">
      <c r="B2" s="6" t="s">
        <v>81</v>
      </c>
      <c r="C2" s="6"/>
      <c r="D2" s="3">
        <v>6614545</v>
      </c>
      <c r="F2" s="101"/>
    </row>
    <row r="3" spans="2:10" ht="16.350000000000001" customHeight="1" thickBot="1" x14ac:dyDescent="0.3">
      <c r="B3" s="6" t="s">
        <v>83</v>
      </c>
      <c r="C3" s="79">
        <v>0.1</v>
      </c>
      <c r="D3" s="72">
        <f>D2+D2*C3</f>
        <v>7275999.5</v>
      </c>
      <c r="F3" s="68">
        <f>(D3-D2)/1600000</f>
        <v>0.41340906249999998</v>
      </c>
    </row>
    <row r="4" spans="2:10" ht="15" customHeight="1" thickBot="1" x14ac:dyDescent="0.3">
      <c r="B4" s="77" t="s">
        <v>2</v>
      </c>
      <c r="C4" s="81">
        <v>0.04</v>
      </c>
      <c r="D4" s="78">
        <f>'Construction Costs'!F18</f>
        <v>8184509.9015680002</v>
      </c>
    </row>
    <row r="5" spans="2:10" ht="14.1" customHeight="1" x14ac:dyDescent="0.25">
      <c r="B5" s="6" t="s">
        <v>3</v>
      </c>
      <c r="C5" s="80"/>
      <c r="D5" s="76">
        <v>300000</v>
      </c>
    </row>
    <row r="6" spans="2:10" ht="14.1" customHeight="1" thickBot="1" x14ac:dyDescent="0.3">
      <c r="B6" s="5" t="s">
        <v>4</v>
      </c>
      <c r="C6" s="73"/>
      <c r="D6" s="98">
        <f>SUM(D4:D5)</f>
        <v>8484509.9015679993</v>
      </c>
    </row>
    <row r="7" spans="2:10" ht="32.25" thickBot="1" x14ac:dyDescent="0.3">
      <c r="B7" s="6" t="s">
        <v>79</v>
      </c>
      <c r="C7" s="97"/>
      <c r="D7" s="116">
        <v>1504912</v>
      </c>
      <c r="F7" s="102" t="s">
        <v>87</v>
      </c>
      <c r="G7" s="103"/>
      <c r="H7" s="103"/>
      <c r="I7" s="104"/>
    </row>
    <row r="8" spans="2:10" x14ac:dyDescent="0.25">
      <c r="B8" s="6" t="s">
        <v>6</v>
      </c>
      <c r="C8" s="6"/>
      <c r="D8" s="99">
        <f>'Reserve Fund '!I18</f>
        <v>1439474.58</v>
      </c>
    </row>
    <row r="9" spans="2:10" x14ac:dyDescent="0.25">
      <c r="B9" s="8" t="s">
        <v>7</v>
      </c>
      <c r="C9" s="9"/>
      <c r="D9" s="10">
        <f>D6-D7-D8</f>
        <v>5540123.3215679992</v>
      </c>
    </row>
    <row r="10" spans="2:10" ht="18.75" x14ac:dyDescent="0.3">
      <c r="B10" s="100" t="s">
        <v>8</v>
      </c>
      <c r="C10" s="100"/>
      <c r="D10" s="100"/>
    </row>
    <row r="11" spans="2:10" ht="19.5" thickBot="1" x14ac:dyDescent="0.35">
      <c r="B11" s="61"/>
      <c r="C11" s="74"/>
      <c r="D11" s="61">
        <v>60</v>
      </c>
      <c r="E11" s="61">
        <v>50</v>
      </c>
      <c r="F11" s="61">
        <v>40</v>
      </c>
      <c r="G11" s="62">
        <v>30</v>
      </c>
      <c r="H11" s="62">
        <v>20</v>
      </c>
      <c r="I11" s="71">
        <v>10</v>
      </c>
      <c r="J11" s="71">
        <v>0</v>
      </c>
    </row>
    <row r="12" spans="2:10" ht="32.25" thickBot="1" x14ac:dyDescent="0.3">
      <c r="B12" s="82" t="s">
        <v>9</v>
      </c>
      <c r="C12" s="84">
        <v>1.4999999999999999E-2</v>
      </c>
      <c r="D12" s="83">
        <f>PMT(C12/12,120,-D$9)*12</f>
        <v>596947.17851161596</v>
      </c>
      <c r="E12" s="64">
        <f>D12</f>
        <v>596947.17851161596</v>
      </c>
      <c r="F12" s="64">
        <f t="shared" ref="F12:G12" si="0">E12</f>
        <v>596947.17851161596</v>
      </c>
      <c r="G12" s="64">
        <f t="shared" si="0"/>
        <v>596947.17851161596</v>
      </c>
      <c r="H12" s="64">
        <f t="shared" ref="H12" si="1">G12</f>
        <v>596947.17851161596</v>
      </c>
      <c r="I12" s="64">
        <f t="shared" ref="I12" si="2">H12</f>
        <v>596947.17851161596</v>
      </c>
      <c r="J12" s="64">
        <f t="shared" ref="J12" si="3">I12</f>
        <v>596947.17851161596</v>
      </c>
    </row>
    <row r="13" spans="2:10" ht="32.25" thickBot="1" x14ac:dyDescent="0.3">
      <c r="B13" s="19" t="s">
        <v>84</v>
      </c>
      <c r="C13" s="86"/>
      <c r="D13" s="3">
        <f>4900*D11</f>
        <v>294000</v>
      </c>
      <c r="E13" s="3">
        <f t="shared" ref="E13:H13" si="4">4900*E11</f>
        <v>245000</v>
      </c>
      <c r="F13" s="3">
        <f t="shared" si="4"/>
        <v>196000</v>
      </c>
      <c r="G13" s="3">
        <f t="shared" si="4"/>
        <v>147000</v>
      </c>
      <c r="H13" s="3">
        <f t="shared" si="4"/>
        <v>98000</v>
      </c>
      <c r="I13" s="3">
        <f t="shared" ref="I13:J13" si="5">4900*I11</f>
        <v>49000</v>
      </c>
      <c r="J13" s="3">
        <f t="shared" si="5"/>
        <v>0</v>
      </c>
    </row>
    <row r="14" spans="2:10" ht="32.25" thickBot="1" x14ac:dyDescent="0.3">
      <c r="B14" s="85" t="s">
        <v>85</v>
      </c>
      <c r="C14" s="88">
        <v>1</v>
      </c>
      <c r="D14" s="83">
        <f>165000*C14</f>
        <v>165000</v>
      </c>
      <c r="E14" s="65">
        <f>D14</f>
        <v>165000</v>
      </c>
      <c r="F14" s="65">
        <f t="shared" ref="F14:G14" si="6">E14</f>
        <v>165000</v>
      </c>
      <c r="G14" s="65">
        <f t="shared" si="6"/>
        <v>165000</v>
      </c>
      <c r="H14" s="65">
        <f t="shared" ref="H14" si="7">G14</f>
        <v>165000</v>
      </c>
      <c r="I14" s="65">
        <f t="shared" ref="I14:I17" si="8">H14</f>
        <v>165000</v>
      </c>
      <c r="J14" s="65">
        <f t="shared" ref="J14:J17" si="9">I14</f>
        <v>165000</v>
      </c>
    </row>
    <row r="15" spans="2:10" ht="31.5" x14ac:dyDescent="0.25">
      <c r="B15" s="15" t="s">
        <v>13</v>
      </c>
      <c r="C15" s="87">
        <v>230</v>
      </c>
      <c r="D15" s="10">
        <f>220*C15</f>
        <v>50600</v>
      </c>
      <c r="E15" s="65">
        <f>D15</f>
        <v>50600</v>
      </c>
      <c r="F15" s="65">
        <f t="shared" ref="F15:G17" si="10">E15</f>
        <v>50600</v>
      </c>
      <c r="G15" s="65">
        <f t="shared" si="10"/>
        <v>50600</v>
      </c>
      <c r="H15" s="65">
        <f t="shared" ref="H15:H17" si="11">G15</f>
        <v>50600</v>
      </c>
      <c r="I15" s="65">
        <f t="shared" si="8"/>
        <v>50600</v>
      </c>
      <c r="J15" s="65">
        <f t="shared" si="9"/>
        <v>50600</v>
      </c>
    </row>
    <row r="16" spans="2:10" x14ac:dyDescent="0.25">
      <c r="B16" s="94" t="s">
        <v>4</v>
      </c>
      <c r="C16" s="96"/>
      <c r="D16" s="90">
        <f>D12-D13-D14-D15</f>
        <v>87347.178511615959</v>
      </c>
      <c r="E16" s="90">
        <f t="shared" ref="E16:J16" si="12">E12-E13-E14-E15</f>
        <v>136347.17851161596</v>
      </c>
      <c r="F16" s="90">
        <f t="shared" si="12"/>
        <v>185347.17851161596</v>
      </c>
      <c r="G16" s="90">
        <f t="shared" si="12"/>
        <v>234347.17851161596</v>
      </c>
      <c r="H16" s="90">
        <f t="shared" si="12"/>
        <v>283347.17851161596</v>
      </c>
      <c r="I16" s="90">
        <f t="shared" si="12"/>
        <v>332347.17851161596</v>
      </c>
      <c r="J16" s="90">
        <f t="shared" si="12"/>
        <v>381347.17851161596</v>
      </c>
    </row>
    <row r="17" spans="2:10" ht="32.25" thickBot="1" x14ac:dyDescent="0.3">
      <c r="B17" s="89" t="s">
        <v>86</v>
      </c>
      <c r="C17" s="95">
        <v>50000</v>
      </c>
      <c r="D17" s="90">
        <f>C17</f>
        <v>50000</v>
      </c>
      <c r="E17" s="10">
        <f t="shared" ref="E17" si="13">D17</f>
        <v>50000</v>
      </c>
      <c r="F17" s="10">
        <f t="shared" si="10"/>
        <v>50000</v>
      </c>
      <c r="G17" s="10">
        <f t="shared" si="10"/>
        <v>50000</v>
      </c>
      <c r="H17" s="10">
        <f t="shared" si="11"/>
        <v>50000</v>
      </c>
      <c r="I17" s="10">
        <f t="shared" si="8"/>
        <v>50000</v>
      </c>
      <c r="J17" s="10">
        <f t="shared" si="9"/>
        <v>50000</v>
      </c>
    </row>
    <row r="18" spans="2:10" ht="16.5" thickBot="1" x14ac:dyDescent="0.3">
      <c r="B18" s="17" t="s">
        <v>7</v>
      </c>
      <c r="C18" s="86"/>
      <c r="D18" s="25">
        <f>D16+D17</f>
        <v>137347.17851161596</v>
      </c>
      <c r="E18" s="25">
        <f t="shared" ref="E18:J18" si="14">E16+E17</f>
        <v>186347.17851161596</v>
      </c>
      <c r="F18" s="25">
        <f t="shared" si="14"/>
        <v>235347.17851161596</v>
      </c>
      <c r="G18" s="25">
        <f t="shared" si="14"/>
        <v>284347.17851161596</v>
      </c>
      <c r="H18" s="25">
        <f t="shared" si="14"/>
        <v>333347.17851161596</v>
      </c>
      <c r="I18" s="25">
        <f t="shared" si="14"/>
        <v>382347.17851161596</v>
      </c>
      <c r="J18" s="25">
        <f t="shared" si="14"/>
        <v>431347.17851161596</v>
      </c>
    </row>
    <row r="19" spans="2:10" ht="32.25" thickBot="1" x14ac:dyDescent="0.3">
      <c r="B19" s="82" t="s">
        <v>14</v>
      </c>
      <c r="C19" s="93">
        <v>500</v>
      </c>
      <c r="D19" s="91">
        <f t="shared" ref="D19:J19" si="15">D18/$C19</f>
        <v>274.69435702323193</v>
      </c>
      <c r="E19" s="66">
        <f t="shared" si="15"/>
        <v>372.69435702323193</v>
      </c>
      <c r="F19" s="66">
        <f t="shared" si="15"/>
        <v>470.69435702323193</v>
      </c>
      <c r="G19" s="66">
        <f t="shared" si="15"/>
        <v>568.69435702323187</v>
      </c>
      <c r="H19" s="66">
        <f t="shared" si="15"/>
        <v>666.69435702323187</v>
      </c>
      <c r="I19" s="66">
        <f t="shared" si="15"/>
        <v>764.69435702323187</v>
      </c>
      <c r="J19" s="66">
        <f t="shared" si="15"/>
        <v>862.69435702323187</v>
      </c>
    </row>
    <row r="20" spans="2:10" ht="31.5" x14ac:dyDescent="0.25">
      <c r="B20" s="19" t="s">
        <v>15</v>
      </c>
      <c r="C20" s="92"/>
      <c r="D20" s="69">
        <f>((D12*0.906)-D13-D14-D15+D17)/$C19</f>
        <v>162.46828746304823</v>
      </c>
      <c r="E20" s="69">
        <f t="shared" ref="E20:J20" si="16">((E12*0.906)-E13-E14-E15+E17)/$C19</f>
        <v>260.46828746304823</v>
      </c>
      <c r="F20" s="69">
        <f t="shared" si="16"/>
        <v>358.46828746304823</v>
      </c>
      <c r="G20" s="69">
        <f t="shared" si="16"/>
        <v>456.46828746304823</v>
      </c>
      <c r="H20" s="69">
        <f t="shared" si="16"/>
        <v>554.46828746304823</v>
      </c>
      <c r="I20" s="69">
        <f t="shared" si="16"/>
        <v>652.46828746304823</v>
      </c>
      <c r="J20" s="69">
        <f t="shared" si="16"/>
        <v>750.46828746304823</v>
      </c>
    </row>
  </sheetData>
  <sheetProtection algorithmName="SHA-512" hashValue="8RpD8cyfvl3Qn7Qwclx+xGHDcn5EDDeSj39+jJG1pgvLtGwIs09RHLDOkHuJ8Ye+sSrUMeLOn5xuK2rBHZ4VSQ==" saltValue="UzwiHu56L8krAcyntcZdpQ==" spinCount="100000" sheet="1" objects="1" scenarios="1"/>
  <mergeCells count="3">
    <mergeCell ref="B10:D10"/>
    <mergeCell ref="F1:F2"/>
    <mergeCell ref="F7:I7"/>
  </mergeCells>
  <hyperlinks>
    <hyperlink ref="B12" r:id="rId1"/>
  </hyperlinks>
  <pageMargins left="0.7" right="0.7" top="0.75" bottom="0.75" header="0.51180555555555496" footer="0.51180555555555496"/>
  <pageSetup paperSize="9" firstPageNumber="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election activeCell="C3" sqref="C3"/>
    </sheetView>
  </sheetViews>
  <sheetFormatPr defaultRowHeight="15.75" x14ac:dyDescent="0.25"/>
  <cols>
    <col min="1" max="1" width="44.5"/>
    <col min="2" max="2" width="5.875"/>
    <col min="3" max="3" width="12"/>
    <col min="4" max="4" width="12.625"/>
    <col min="5" max="5" width="5.125"/>
    <col min="6" max="6" width="8.625"/>
    <col min="7" max="7" width="13.625"/>
    <col min="8" max="1025" width="8.625"/>
  </cols>
  <sheetData>
    <row r="1" spans="1:4" x14ac:dyDescent="0.25">
      <c r="B1" s="1" t="s">
        <v>0</v>
      </c>
    </row>
    <row r="2" spans="1:4" x14ac:dyDescent="0.25">
      <c r="A2" s="2" t="s">
        <v>1</v>
      </c>
      <c r="B2" s="2"/>
      <c r="C2" s="3">
        <v>5739505</v>
      </c>
    </row>
    <row r="3" spans="1:4" ht="33" customHeight="1" x14ac:dyDescent="0.25">
      <c r="A3" s="2" t="s">
        <v>2</v>
      </c>
      <c r="B3" s="4">
        <v>0.05</v>
      </c>
      <c r="C3" s="3">
        <f>'Construction Costs'!I3</f>
        <v>7262304.8332528844</v>
      </c>
    </row>
    <row r="4" spans="1:4" ht="14.1" customHeight="1" x14ac:dyDescent="0.25">
      <c r="A4" s="2" t="s">
        <v>3</v>
      </c>
      <c r="B4" s="4"/>
      <c r="C4" s="3">
        <v>300000</v>
      </c>
    </row>
    <row r="5" spans="1:4" ht="14.1" customHeight="1" x14ac:dyDescent="0.25">
      <c r="A5" s="5" t="s">
        <v>4</v>
      </c>
      <c r="B5" s="4"/>
      <c r="C5" s="3">
        <f>SUM(C3:C4)</f>
        <v>7562304.8332528844</v>
      </c>
    </row>
    <row r="6" spans="1:4" ht="31.5" x14ac:dyDescent="0.25">
      <c r="A6" s="2" t="s">
        <v>5</v>
      </c>
      <c r="B6" s="4">
        <v>0.1</v>
      </c>
      <c r="C6" s="3">
        <f>C3*B6</f>
        <v>726230.48332528851</v>
      </c>
    </row>
    <row r="7" spans="1:4" ht="13.5" customHeight="1" x14ac:dyDescent="0.25">
      <c r="A7" s="6" t="s">
        <v>6</v>
      </c>
      <c r="B7" s="6"/>
      <c r="C7" s="7">
        <f>'Reserve Fund '!I18</f>
        <v>1439474.58</v>
      </c>
    </row>
    <row r="8" spans="1:4" x14ac:dyDescent="0.25">
      <c r="A8" s="8" t="s">
        <v>7</v>
      </c>
      <c r="B8" s="9"/>
      <c r="C8" s="10">
        <f>C5-C6-C7</f>
        <v>5396599.7699275957</v>
      </c>
    </row>
    <row r="9" spans="1:4" ht="18.75" x14ac:dyDescent="0.3">
      <c r="A9" s="100" t="s">
        <v>8</v>
      </c>
      <c r="B9" s="100"/>
      <c r="C9" s="100"/>
    </row>
    <row r="10" spans="1:4" ht="31.5" x14ac:dyDescent="0.25">
      <c r="A10" s="6" t="s">
        <v>9</v>
      </c>
      <c r="B10" s="11">
        <v>0.04</v>
      </c>
      <c r="C10" s="3">
        <f>PMT(B10/12,120,C$8)*-12</f>
        <v>655655.38719226455</v>
      </c>
      <c r="D10" s="12" t="s">
        <v>10</v>
      </c>
    </row>
    <row r="11" spans="1:4" ht="31.5" x14ac:dyDescent="0.25">
      <c r="A11" s="13" t="s">
        <v>11</v>
      </c>
      <c r="B11" s="12">
        <v>60</v>
      </c>
      <c r="C11" s="3">
        <f>4800*B11</f>
        <v>288000</v>
      </c>
      <c r="D11" s="14">
        <f>C11/$C$26</f>
        <v>0.36734793908857538</v>
      </c>
    </row>
    <row r="12" spans="1:4" x14ac:dyDescent="0.25">
      <c r="A12" s="13" t="s">
        <v>12</v>
      </c>
      <c r="B12" s="12"/>
      <c r="C12" s="3">
        <v>142000</v>
      </c>
      <c r="D12" s="14">
        <f>C12/$C$26</f>
        <v>0.18112294218950592</v>
      </c>
    </row>
    <row r="13" spans="1:4" ht="31.5" x14ac:dyDescent="0.25">
      <c r="A13" s="15" t="s">
        <v>13</v>
      </c>
      <c r="B13" s="16">
        <v>230</v>
      </c>
      <c r="C13" s="10">
        <f>220*B13</f>
        <v>50600</v>
      </c>
      <c r="D13" s="14">
        <f>C13/$C$26</f>
        <v>6.4540992075978867E-2</v>
      </c>
    </row>
    <row r="14" spans="1:4" x14ac:dyDescent="0.25">
      <c r="A14" s="17" t="s">
        <v>7</v>
      </c>
      <c r="B14" s="12"/>
      <c r="C14" s="18">
        <f>C10-C11-C12-C13</f>
        <v>175055.38719226455</v>
      </c>
      <c r="D14" s="14">
        <f>C14/$C$26</f>
        <v>0.22328554066469089</v>
      </c>
    </row>
    <row r="15" spans="1:4" ht="31.5" x14ac:dyDescent="0.25">
      <c r="A15" s="19" t="s">
        <v>14</v>
      </c>
      <c r="B15" s="20">
        <v>600</v>
      </c>
      <c r="C15" s="21">
        <f>C14/B15</f>
        <v>291.75897865377425</v>
      </c>
    </row>
    <row r="16" spans="1:4" ht="31.5" x14ac:dyDescent="0.25">
      <c r="A16" s="19" t="s">
        <v>15</v>
      </c>
      <c r="B16" s="22"/>
      <c r="C16" s="10">
        <f>((C10*0.906)-C11-C12-C13)/B15</f>
        <v>189.03963466031942</v>
      </c>
    </row>
    <row r="17" spans="1:4" ht="18.75" x14ac:dyDescent="0.3">
      <c r="A17" s="100" t="s">
        <v>16</v>
      </c>
      <c r="B17" s="100"/>
      <c r="C17" s="100"/>
    </row>
    <row r="18" spans="1:4" ht="31.5" x14ac:dyDescent="0.25">
      <c r="A18" s="6" t="s">
        <v>9</v>
      </c>
      <c r="B18" s="11">
        <v>0.04</v>
      </c>
      <c r="C18" s="3">
        <f>PMT(B18/12,120,C$8)*-12</f>
        <v>655655.38719226455</v>
      </c>
      <c r="D18" s="12" t="s">
        <v>10</v>
      </c>
    </row>
    <row r="19" spans="1:4" ht="31.5" x14ac:dyDescent="0.25">
      <c r="A19" s="13" t="s">
        <v>11</v>
      </c>
      <c r="B19" s="12">
        <v>30</v>
      </c>
      <c r="C19" s="3">
        <f>4800*B19</f>
        <v>144000</v>
      </c>
      <c r="D19" s="14">
        <f>C19/C18</f>
        <v>0.21962757084427556</v>
      </c>
    </row>
    <row r="20" spans="1:4" x14ac:dyDescent="0.25">
      <c r="A20" s="13" t="s">
        <v>12</v>
      </c>
      <c r="B20" s="12"/>
      <c r="C20" s="3">
        <v>142000</v>
      </c>
      <c r="D20" s="14">
        <f>C20/C18</f>
        <v>0.21657718791588285</v>
      </c>
    </row>
    <row r="21" spans="1:4" ht="31.5" x14ac:dyDescent="0.25">
      <c r="A21" s="15" t="s">
        <v>13</v>
      </c>
      <c r="B21" s="16">
        <v>230</v>
      </c>
      <c r="C21" s="10">
        <f>220*B21</f>
        <v>50600</v>
      </c>
      <c r="D21" s="14">
        <f>C21/C18</f>
        <v>7.7174688088335719E-2</v>
      </c>
    </row>
    <row r="22" spans="1:4" x14ac:dyDescent="0.25">
      <c r="A22" s="17" t="s">
        <v>7</v>
      </c>
      <c r="B22" s="12"/>
      <c r="C22" s="18">
        <f>C18-C19-C20-C21</f>
        <v>319055.38719226455</v>
      </c>
      <c r="D22" s="14">
        <f>C22/C18</f>
        <v>0.48662055315150587</v>
      </c>
    </row>
    <row r="23" spans="1:4" ht="31.5" x14ac:dyDescent="0.25">
      <c r="A23" s="19" t="s">
        <v>14</v>
      </c>
      <c r="B23" s="20">
        <v>600</v>
      </c>
      <c r="C23" s="21">
        <f>C22/B23</f>
        <v>531.75897865377419</v>
      </c>
    </row>
    <row r="24" spans="1:4" ht="31.5" x14ac:dyDescent="0.25">
      <c r="A24" s="19" t="s">
        <v>15</v>
      </c>
      <c r="B24" s="22"/>
      <c r="C24" s="10">
        <f>((C18*0.906)-C19-C20-C21)/B23</f>
        <v>429.03963466031945</v>
      </c>
    </row>
    <row r="25" spans="1:4" ht="18.75" x14ac:dyDescent="0.3">
      <c r="A25" s="100" t="s">
        <v>17</v>
      </c>
      <c r="B25" s="100"/>
      <c r="C25" s="100"/>
    </row>
    <row r="26" spans="1:4" ht="31.5" x14ac:dyDescent="0.25">
      <c r="A26" s="6" t="s">
        <v>18</v>
      </c>
      <c r="B26" s="11">
        <v>7.9500000000000001E-2</v>
      </c>
      <c r="C26" s="3">
        <f>PMT(B26/12,120,C8)*-12</f>
        <v>783997.86511544057</v>
      </c>
      <c r="D26" s="12" t="s">
        <v>10</v>
      </c>
    </row>
    <row r="27" spans="1:4" ht="31.5" x14ac:dyDescent="0.25">
      <c r="A27" s="13" t="s">
        <v>11</v>
      </c>
      <c r="B27" s="12">
        <v>60</v>
      </c>
      <c r="C27" s="3">
        <f>4800*B27</f>
        <v>288000</v>
      </c>
      <c r="D27" s="14">
        <f>C27/C26</f>
        <v>0.36734793908857538</v>
      </c>
    </row>
    <row r="28" spans="1:4" ht="15.95" customHeight="1" x14ac:dyDescent="0.25">
      <c r="A28" s="13" t="s">
        <v>12</v>
      </c>
      <c r="B28" s="12"/>
      <c r="C28" s="3">
        <v>142000</v>
      </c>
      <c r="D28" s="14">
        <f>C28/C26</f>
        <v>0.18112294218950592</v>
      </c>
    </row>
    <row r="29" spans="1:4" ht="24.6" customHeight="1" x14ac:dyDescent="0.25">
      <c r="A29" s="15" t="s">
        <v>13</v>
      </c>
      <c r="B29" s="16">
        <v>230</v>
      </c>
      <c r="C29" s="10">
        <f>220*B29</f>
        <v>50600</v>
      </c>
      <c r="D29" s="14">
        <f>C29/C26</f>
        <v>6.4540992075978867E-2</v>
      </c>
    </row>
    <row r="30" spans="1:4" x14ac:dyDescent="0.25">
      <c r="A30" s="17" t="s">
        <v>7</v>
      </c>
      <c r="B30" s="12"/>
      <c r="C30" s="18">
        <f>C26-C27-C28-C29</f>
        <v>303397.86511544057</v>
      </c>
      <c r="D30" s="14">
        <f>C30/C26</f>
        <v>0.38698812664593985</v>
      </c>
    </row>
    <row r="31" spans="1:4" ht="31.5" x14ac:dyDescent="0.25">
      <c r="A31" s="19" t="s">
        <v>14</v>
      </c>
      <c r="B31" s="20">
        <v>600</v>
      </c>
      <c r="C31" s="21">
        <f>C30/B31</f>
        <v>505.66310852573429</v>
      </c>
      <c r="D31" s="23"/>
    </row>
    <row r="32" spans="1:4" ht="31.5" x14ac:dyDescent="0.25">
      <c r="A32" s="19" t="s">
        <v>15</v>
      </c>
      <c r="B32" s="19"/>
      <c r="C32" s="10">
        <f>((C26*0.912)-C27-C28-C29)/B31</f>
        <v>390.67675497546969</v>
      </c>
    </row>
    <row r="33" spans="1:4" ht="18.75" x14ac:dyDescent="0.3">
      <c r="A33" s="100" t="s">
        <v>19</v>
      </c>
      <c r="B33" s="100"/>
      <c r="C33" s="100"/>
    </row>
    <row r="34" spans="1:4" ht="31.5" x14ac:dyDescent="0.25">
      <c r="A34" s="6" t="s">
        <v>20</v>
      </c>
      <c r="B34" s="24">
        <v>0.1</v>
      </c>
      <c r="C34" s="25">
        <f>PMT(B34/12,180,C8)*-12</f>
        <v>695905.64771839639</v>
      </c>
      <c r="D34" s="12" t="s">
        <v>10</v>
      </c>
    </row>
    <row r="35" spans="1:4" ht="31.5" x14ac:dyDescent="0.25">
      <c r="A35" s="13" t="s">
        <v>11</v>
      </c>
      <c r="B35" s="12">
        <v>60</v>
      </c>
      <c r="C35" s="25">
        <f>4800*B35</f>
        <v>288000</v>
      </c>
      <c r="D35" s="14">
        <f>C35/C34</f>
        <v>0.4138492063460612</v>
      </c>
    </row>
    <row r="36" spans="1:4" x14ac:dyDescent="0.25">
      <c r="A36" s="13" t="s">
        <v>12</v>
      </c>
      <c r="B36" s="12"/>
      <c r="C36" s="3">
        <v>142000</v>
      </c>
      <c r="D36" s="14">
        <f>C36/C34</f>
        <v>0.20405065035118294</v>
      </c>
    </row>
    <row r="37" spans="1:4" ht="31.5" x14ac:dyDescent="0.25">
      <c r="A37" s="15" t="s">
        <v>13</v>
      </c>
      <c r="B37" s="16">
        <v>230</v>
      </c>
      <c r="C37" s="10">
        <f>220*B37</f>
        <v>50600</v>
      </c>
      <c r="D37" s="14">
        <f>C37/C34</f>
        <v>7.271100639274547E-2</v>
      </c>
    </row>
    <row r="38" spans="1:4" x14ac:dyDescent="0.25">
      <c r="A38" s="17" t="s">
        <v>7</v>
      </c>
      <c r="B38" s="15"/>
      <c r="C38" s="18">
        <f>C34-C35-C36-C37</f>
        <v>215305.64771839639</v>
      </c>
      <c r="D38" s="14">
        <f>C38/C34</f>
        <v>0.30938913691001035</v>
      </c>
    </row>
    <row r="39" spans="1:4" ht="31.5" x14ac:dyDescent="0.25">
      <c r="A39" s="19" t="s">
        <v>21</v>
      </c>
      <c r="B39" s="19">
        <v>600</v>
      </c>
      <c r="C39" s="21">
        <f>C38/B39</f>
        <v>358.8427461973273</v>
      </c>
    </row>
    <row r="40" spans="1:4" ht="31.5" x14ac:dyDescent="0.25">
      <c r="A40" s="19" t="s">
        <v>15</v>
      </c>
      <c r="B40" s="19"/>
      <c r="C40" s="10">
        <f>((C34*0.903)-C35-C36-C37)/B39</f>
        <v>246.33799981618668</v>
      </c>
    </row>
    <row r="41" spans="1:4" ht="18.75" x14ac:dyDescent="0.3">
      <c r="A41" s="100" t="s">
        <v>22</v>
      </c>
      <c r="B41" s="100"/>
      <c r="C41" s="100"/>
    </row>
    <row r="42" spans="1:4" ht="31.5" x14ac:dyDescent="0.25">
      <c r="A42" s="6" t="s">
        <v>20</v>
      </c>
      <c r="B42" s="24">
        <v>0.1</v>
      </c>
      <c r="C42" s="25">
        <f>PMT(B42/12,180,C$8)*-12</f>
        <v>695905.64771839639</v>
      </c>
      <c r="D42" s="12" t="s">
        <v>10</v>
      </c>
    </row>
    <row r="43" spans="1:4" ht="31.5" x14ac:dyDescent="0.25">
      <c r="A43" s="13" t="s">
        <v>11</v>
      </c>
      <c r="B43" s="12">
        <v>30</v>
      </c>
      <c r="C43" s="25">
        <f>4800*B43</f>
        <v>144000</v>
      </c>
      <c r="D43" s="14">
        <f>C43/C42</f>
        <v>0.2069246031730306</v>
      </c>
    </row>
    <row r="44" spans="1:4" x14ac:dyDescent="0.25">
      <c r="A44" s="13" t="s">
        <v>12</v>
      </c>
      <c r="B44" s="12"/>
      <c r="C44" s="3">
        <v>142000</v>
      </c>
      <c r="D44" s="14">
        <f>C44/C42</f>
        <v>0.20405065035118294</v>
      </c>
    </row>
    <row r="45" spans="1:4" ht="31.5" x14ac:dyDescent="0.25">
      <c r="A45" s="15" t="s">
        <v>13</v>
      </c>
      <c r="B45" s="16">
        <v>230</v>
      </c>
      <c r="C45" s="10">
        <f>220*B45</f>
        <v>50600</v>
      </c>
      <c r="D45" s="14">
        <f>C45/C42</f>
        <v>7.271100639274547E-2</v>
      </c>
    </row>
    <row r="46" spans="1:4" x14ac:dyDescent="0.25">
      <c r="A46" s="17" t="s">
        <v>7</v>
      </c>
      <c r="B46" s="13"/>
      <c r="C46" s="18">
        <f>C42-C43-C44-C45</f>
        <v>359305.64771839639</v>
      </c>
      <c r="D46" s="14">
        <f>C46/C42</f>
        <v>0.51631374008304098</v>
      </c>
    </row>
    <row r="47" spans="1:4" ht="31.5" x14ac:dyDescent="0.25">
      <c r="A47" s="19" t="s">
        <v>23</v>
      </c>
      <c r="B47" s="26">
        <v>600</v>
      </c>
      <c r="C47" s="21">
        <f>C46/B47</f>
        <v>598.8427461973273</v>
      </c>
    </row>
    <row r="48" spans="1:4" ht="31.5" x14ac:dyDescent="0.25">
      <c r="A48" s="19" t="s">
        <v>15</v>
      </c>
      <c r="B48" s="22"/>
      <c r="C48" s="10">
        <f>((C42*0.903)-C43-C44-C45)/B47</f>
        <v>486.33799981618671</v>
      </c>
    </row>
    <row r="49" spans="1:4" ht="18.75" x14ac:dyDescent="0.3">
      <c r="A49" s="100" t="s">
        <v>24</v>
      </c>
      <c r="B49" s="100"/>
      <c r="C49" s="100"/>
    </row>
    <row r="50" spans="1:4" ht="31.5" x14ac:dyDescent="0.25">
      <c r="A50" s="6" t="s">
        <v>20</v>
      </c>
      <c r="B50" s="24">
        <v>0.1</v>
      </c>
      <c r="C50" s="25">
        <f>PMT(B50/12,180,C$8)*-12</f>
        <v>695905.64771839639</v>
      </c>
      <c r="D50" s="12" t="s">
        <v>10</v>
      </c>
    </row>
    <row r="51" spans="1:4" ht="31.5" x14ac:dyDescent="0.25">
      <c r="A51" s="13" t="s">
        <v>11</v>
      </c>
      <c r="B51" s="12">
        <v>0</v>
      </c>
      <c r="C51" s="25">
        <f>4800*B51</f>
        <v>0</v>
      </c>
      <c r="D51" s="14">
        <f>C51/C50</f>
        <v>0</v>
      </c>
    </row>
    <row r="52" spans="1:4" x14ac:dyDescent="0.25">
      <c r="A52" s="13" t="s">
        <v>12</v>
      </c>
      <c r="B52" s="12"/>
      <c r="C52" s="3">
        <v>142000</v>
      </c>
      <c r="D52" s="14">
        <f>C52/C50</f>
        <v>0.20405065035118294</v>
      </c>
    </row>
    <row r="53" spans="1:4" ht="31.5" x14ac:dyDescent="0.25">
      <c r="A53" s="15" t="s">
        <v>13</v>
      </c>
      <c r="B53" s="16">
        <v>230</v>
      </c>
      <c r="C53" s="10">
        <f>220*B53</f>
        <v>50600</v>
      </c>
      <c r="D53" s="14">
        <f>C53/C50</f>
        <v>7.271100639274547E-2</v>
      </c>
    </row>
    <row r="54" spans="1:4" x14ac:dyDescent="0.25">
      <c r="A54" s="17" t="s">
        <v>7</v>
      </c>
      <c r="B54" s="13"/>
      <c r="C54" s="18">
        <f>C50-C51-C52-C53</f>
        <v>503305.64771839639</v>
      </c>
      <c r="D54" s="14">
        <f>C54/C50</f>
        <v>0.72323834325607161</v>
      </c>
    </row>
    <row r="55" spans="1:4" ht="31.5" x14ac:dyDescent="0.25">
      <c r="A55" s="19" t="s">
        <v>23</v>
      </c>
      <c r="B55" s="26">
        <v>600</v>
      </c>
      <c r="C55" s="21">
        <f>C54/B55</f>
        <v>838.8427461973273</v>
      </c>
    </row>
    <row r="56" spans="1:4" ht="31.5" x14ac:dyDescent="0.25">
      <c r="A56" s="19" t="s">
        <v>15</v>
      </c>
      <c r="B56" s="22"/>
      <c r="C56" s="10">
        <f>((C50*0.903)-C51-C52-C53)/B55</f>
        <v>726.33799981618665</v>
      </c>
    </row>
    <row r="57" spans="1:4" ht="18.75" x14ac:dyDescent="0.3">
      <c r="A57" s="105" t="s">
        <v>25</v>
      </c>
      <c r="B57" s="105"/>
      <c r="C57" s="105"/>
    </row>
    <row r="58" spans="1:4" ht="12.6" customHeight="1" x14ac:dyDescent="0.25">
      <c r="A58" s="106" t="s">
        <v>26</v>
      </c>
      <c r="B58" s="106"/>
    </row>
    <row r="59" spans="1:4" ht="31.5" x14ac:dyDescent="0.25">
      <c r="A59" s="6" t="s">
        <v>20</v>
      </c>
      <c r="B59" s="24">
        <v>0.1</v>
      </c>
      <c r="C59" s="25" t="e">
        <f>PMT(B59/12,180,C70)*-12</f>
        <v>#REF!</v>
      </c>
      <c r="D59" s="12" t="s">
        <v>10</v>
      </c>
    </row>
    <row r="60" spans="1:4" x14ac:dyDescent="0.25">
      <c r="A60" s="13" t="s">
        <v>12</v>
      </c>
      <c r="B60" s="12"/>
      <c r="C60" s="3">
        <v>142000</v>
      </c>
      <c r="D60" s="14" t="e">
        <f>C60/C59</f>
        <v>#REF!</v>
      </c>
    </row>
    <row r="61" spans="1:4" ht="31.5" x14ac:dyDescent="0.25">
      <c r="A61" s="15" t="s">
        <v>13</v>
      </c>
      <c r="B61" s="16">
        <v>230</v>
      </c>
      <c r="C61" s="10">
        <f>220*B61</f>
        <v>50600</v>
      </c>
      <c r="D61" s="14" t="e">
        <f>C61/C59</f>
        <v>#REF!</v>
      </c>
    </row>
    <row r="62" spans="1:4" x14ac:dyDescent="0.25">
      <c r="A62" s="17" t="s">
        <v>7</v>
      </c>
      <c r="B62" s="13"/>
      <c r="C62" s="18" t="e">
        <f>C59-C60-C61</f>
        <v>#REF!</v>
      </c>
      <c r="D62" s="14" t="e">
        <f>C62/C59</f>
        <v>#REF!</v>
      </c>
    </row>
    <row r="63" spans="1:4" ht="31.5" x14ac:dyDescent="0.25">
      <c r="A63" s="19" t="s">
        <v>23</v>
      </c>
      <c r="B63" s="26">
        <v>600</v>
      </c>
      <c r="C63" s="21" t="e">
        <f>C62/B63</f>
        <v>#REF!</v>
      </c>
      <c r="D63" s="14"/>
    </row>
    <row r="64" spans="1:4" ht="31.5" x14ac:dyDescent="0.25">
      <c r="A64" s="19" t="s">
        <v>15</v>
      </c>
      <c r="B64" s="22"/>
      <c r="C64" s="10" t="e">
        <f>((C59*0.903)-C60-C61)/B63</f>
        <v>#REF!</v>
      </c>
    </row>
    <row r="66" spans="1:3" ht="18.75" customHeight="1" x14ac:dyDescent="0.25">
      <c r="A66" s="2" t="s">
        <v>27</v>
      </c>
      <c r="B66" s="2"/>
      <c r="C66" s="3">
        <v>4128000</v>
      </c>
    </row>
    <row r="67" spans="1:3" ht="31.5" x14ac:dyDescent="0.25">
      <c r="A67" s="2" t="s">
        <v>2</v>
      </c>
      <c r="B67" s="4">
        <v>0.05</v>
      </c>
      <c r="C67" s="3" t="e">
        <f>'Reserve Fund '!#REF!</f>
        <v>#REF!</v>
      </c>
    </row>
    <row r="68" spans="1:3" ht="31.5" x14ac:dyDescent="0.25">
      <c r="A68" s="2" t="s">
        <v>5</v>
      </c>
      <c r="B68" s="4">
        <v>0.1</v>
      </c>
      <c r="C68" s="3" t="e">
        <f>C67*B68</f>
        <v>#REF!</v>
      </c>
    </row>
    <row r="69" spans="1:3" x14ac:dyDescent="0.25">
      <c r="A69" s="6" t="s">
        <v>28</v>
      </c>
      <c r="B69" s="6"/>
      <c r="C69" s="7">
        <f>'Reserve Fund '!H18</f>
        <v>1114340.58</v>
      </c>
    </row>
    <row r="70" spans="1:3" x14ac:dyDescent="0.25">
      <c r="A70" s="8" t="s">
        <v>7</v>
      </c>
      <c r="B70" s="9"/>
      <c r="C70" s="10" t="e">
        <f>C67-C68-C69</f>
        <v>#REF!</v>
      </c>
    </row>
  </sheetData>
  <mergeCells count="8">
    <mergeCell ref="A49:C49"/>
    <mergeCell ref="A57:C57"/>
    <mergeCell ref="A58:B58"/>
    <mergeCell ref="A9:C9"/>
    <mergeCell ref="A17:C17"/>
    <mergeCell ref="A25:C25"/>
    <mergeCell ref="A33:C33"/>
    <mergeCell ref="A41:C41"/>
  </mergeCell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workbookViewId="0">
      <selection activeCell="C3" sqref="C3"/>
    </sheetView>
  </sheetViews>
  <sheetFormatPr defaultRowHeight="15.75" x14ac:dyDescent="0.25"/>
  <cols>
    <col min="1" max="1" width="46"/>
    <col min="2" max="2" width="5.875"/>
    <col min="3" max="3" width="12"/>
    <col min="4" max="4" width="12.625"/>
    <col min="5" max="5" width="5.125"/>
    <col min="6" max="6" width="8.625"/>
    <col min="7" max="7" width="13.625"/>
    <col min="8" max="1025" width="8.625"/>
  </cols>
  <sheetData>
    <row r="1" spans="1:4" x14ac:dyDescent="0.25">
      <c r="A1" t="s">
        <v>29</v>
      </c>
      <c r="B1" s="1" t="s">
        <v>0</v>
      </c>
    </row>
    <row r="2" spans="1:4" ht="16.350000000000001" customHeight="1" x14ac:dyDescent="0.25">
      <c r="A2" s="2" t="s">
        <v>30</v>
      </c>
      <c r="B2" s="2"/>
      <c r="C2" s="3">
        <v>7276000</v>
      </c>
    </row>
    <row r="3" spans="1:4" ht="30" customHeight="1" x14ac:dyDescent="0.25">
      <c r="A3" s="2" t="s">
        <v>2</v>
      </c>
      <c r="B3" s="4">
        <v>0.05</v>
      </c>
      <c r="C3" s="3">
        <f>'Construction Costs'!F18</f>
        <v>8184509.9015680002</v>
      </c>
    </row>
    <row r="4" spans="1:4" ht="14.1" customHeight="1" x14ac:dyDescent="0.25">
      <c r="A4" s="2" t="s">
        <v>3</v>
      </c>
      <c r="B4" s="4"/>
      <c r="C4" s="3">
        <v>300000</v>
      </c>
    </row>
    <row r="5" spans="1:4" ht="14.1" customHeight="1" x14ac:dyDescent="0.25">
      <c r="A5" s="5" t="s">
        <v>4</v>
      </c>
      <c r="B5" s="4"/>
      <c r="C5" s="3">
        <f>SUM(C3:C4)</f>
        <v>8484509.9015679993</v>
      </c>
    </row>
    <row r="6" spans="1:4" ht="47.25" x14ac:dyDescent="0.25">
      <c r="A6" s="2" t="s">
        <v>79</v>
      </c>
      <c r="B6" s="4"/>
      <c r="C6" s="3">
        <v>1504912</v>
      </c>
    </row>
    <row r="7" spans="1:4" ht="13.5" customHeight="1" x14ac:dyDescent="0.25">
      <c r="A7" s="6" t="s">
        <v>6</v>
      </c>
      <c r="B7" s="6"/>
      <c r="C7" s="7">
        <f>'Reserve Fund '!I18</f>
        <v>1439474.58</v>
      </c>
    </row>
    <row r="8" spans="1:4" x14ac:dyDescent="0.25">
      <c r="A8" s="8" t="s">
        <v>7</v>
      </c>
      <c r="B8" s="9"/>
      <c r="C8" s="10">
        <f>C5-C6-C7</f>
        <v>5540123.3215679992</v>
      </c>
    </row>
    <row r="9" spans="1:4" ht="18.75" x14ac:dyDescent="0.3">
      <c r="A9" s="100" t="s">
        <v>8</v>
      </c>
      <c r="B9" s="100"/>
      <c r="C9" s="100"/>
    </row>
    <row r="10" spans="1:4" ht="31.5" x14ac:dyDescent="0.25">
      <c r="A10" s="6" t="s">
        <v>9</v>
      </c>
      <c r="B10" s="11">
        <v>0.04</v>
      </c>
      <c r="C10" s="3">
        <f>PMT(B10/12,120,C$8)*-12</f>
        <v>673092.661371161</v>
      </c>
      <c r="D10" s="12" t="s">
        <v>10</v>
      </c>
    </row>
    <row r="11" spans="1:4" ht="31.5" x14ac:dyDescent="0.25">
      <c r="A11" s="13" t="s">
        <v>11</v>
      </c>
      <c r="B11" s="12">
        <v>60</v>
      </c>
      <c r="C11" s="3">
        <f>4800*B11</f>
        <v>288000</v>
      </c>
      <c r="D11" s="14">
        <f>C11/$C$26</f>
        <v>0.35783134932232924</v>
      </c>
    </row>
    <row r="12" spans="1:4" x14ac:dyDescent="0.25">
      <c r="A12" s="13" t="s">
        <v>12</v>
      </c>
      <c r="B12" s="12"/>
      <c r="C12" s="3">
        <v>142000</v>
      </c>
      <c r="D12" s="14">
        <f>C12/$C$26</f>
        <v>0.17643073473531512</v>
      </c>
    </row>
    <row r="13" spans="1:4" ht="31.5" x14ac:dyDescent="0.25">
      <c r="A13" s="15" t="s">
        <v>13</v>
      </c>
      <c r="B13" s="16">
        <v>230</v>
      </c>
      <c r="C13" s="10">
        <f>220*B13</f>
        <v>50600</v>
      </c>
      <c r="D13" s="14">
        <f>C13/$C$26</f>
        <v>6.2868980123992571E-2</v>
      </c>
    </row>
    <row r="14" spans="1:4" x14ac:dyDescent="0.25">
      <c r="A14" s="17" t="s">
        <v>7</v>
      </c>
      <c r="B14" s="12"/>
      <c r="C14" s="25">
        <f>C10-C11-C12-C13</f>
        <v>192492.661371161</v>
      </c>
      <c r="D14" s="14">
        <f>C14/$C$26</f>
        <v>0.23916634983711371</v>
      </c>
    </row>
    <row r="15" spans="1:4" ht="31.5" x14ac:dyDescent="0.25">
      <c r="A15" s="19" t="s">
        <v>14</v>
      </c>
      <c r="B15" s="20">
        <v>600</v>
      </c>
      <c r="C15" s="21">
        <f>C14/B15</f>
        <v>320.82110228526835</v>
      </c>
    </row>
    <row r="16" spans="1:4" ht="31.5" x14ac:dyDescent="0.25">
      <c r="A16" s="19" t="s">
        <v>15</v>
      </c>
      <c r="B16" s="22"/>
      <c r="C16" s="10">
        <f>((C10*0.906)-C11-C12-C13)/B15</f>
        <v>215.3699186704531</v>
      </c>
    </row>
    <row r="17" spans="1:4" ht="18.75" x14ac:dyDescent="0.3">
      <c r="A17" s="100" t="s">
        <v>31</v>
      </c>
      <c r="B17" s="100"/>
      <c r="C17" s="100"/>
    </row>
    <row r="18" spans="1:4" ht="31.5" x14ac:dyDescent="0.25">
      <c r="A18" s="6" t="s">
        <v>9</v>
      </c>
      <c r="B18" s="11">
        <v>0.04</v>
      </c>
      <c r="C18" s="3">
        <f>PMT(B18/12,120,C$8)*-12</f>
        <v>673092.661371161</v>
      </c>
      <c r="D18" s="12" t="s">
        <v>10</v>
      </c>
    </row>
    <row r="19" spans="1:4" ht="31.5" x14ac:dyDescent="0.25">
      <c r="A19" s="13" t="s">
        <v>11</v>
      </c>
      <c r="B19" s="12">
        <v>40</v>
      </c>
      <c r="C19" s="3">
        <f>4800*B19</f>
        <v>192000</v>
      </c>
      <c r="D19" s="14">
        <f>C19/C18</f>
        <v>0.28525047295698586</v>
      </c>
    </row>
    <row r="20" spans="1:4" x14ac:dyDescent="0.25">
      <c r="A20" s="13" t="s">
        <v>12</v>
      </c>
      <c r="B20" s="12"/>
      <c r="C20" s="3">
        <v>142000</v>
      </c>
      <c r="D20" s="14">
        <f>C20/C18</f>
        <v>0.21096649562443745</v>
      </c>
    </row>
    <row r="21" spans="1:4" ht="31.5" x14ac:dyDescent="0.25">
      <c r="A21" s="15" t="s">
        <v>13</v>
      </c>
      <c r="B21" s="16">
        <v>230</v>
      </c>
      <c r="C21" s="10">
        <f>220*B21</f>
        <v>50600</v>
      </c>
      <c r="D21" s="14">
        <f>C21/C18</f>
        <v>7.5175385060538988E-2</v>
      </c>
    </row>
    <row r="22" spans="1:4" x14ac:dyDescent="0.25">
      <c r="A22" s="17" t="s">
        <v>7</v>
      </c>
      <c r="B22" s="12"/>
      <c r="C22" s="25">
        <f>C18-C19-C20-C21</f>
        <v>288492.661371161</v>
      </c>
      <c r="D22" s="14">
        <f>C22/C18</f>
        <v>0.42860764635803772</v>
      </c>
    </row>
    <row r="23" spans="1:4" ht="31.5" x14ac:dyDescent="0.25">
      <c r="A23" s="19" t="s">
        <v>14</v>
      </c>
      <c r="B23" s="20">
        <v>600</v>
      </c>
      <c r="C23" s="21">
        <f>C22/B23</f>
        <v>480.82110228526835</v>
      </c>
    </row>
    <row r="24" spans="1:4" ht="31.5" x14ac:dyDescent="0.25">
      <c r="A24" s="19" t="s">
        <v>15</v>
      </c>
      <c r="B24" s="22"/>
      <c r="C24" s="10">
        <f>((C18*0.906)-C19-C20-C21)/B23</f>
        <v>375.3699186704531</v>
      </c>
    </row>
    <row r="25" spans="1:4" ht="18.75" x14ac:dyDescent="0.3">
      <c r="A25" s="100" t="s">
        <v>17</v>
      </c>
      <c r="B25" s="100"/>
      <c r="C25" s="100"/>
    </row>
    <row r="26" spans="1:4" ht="31.5" x14ac:dyDescent="0.25">
      <c r="A26" s="6" t="s">
        <v>18</v>
      </c>
      <c r="B26" s="11">
        <v>7.9500000000000001E-2</v>
      </c>
      <c r="C26" s="3">
        <f>PMT(B26/12,120,C8)*-12</f>
        <v>804848.43081921758</v>
      </c>
      <c r="D26" s="12" t="s">
        <v>10</v>
      </c>
    </row>
    <row r="27" spans="1:4" ht="31.5" x14ac:dyDescent="0.25">
      <c r="A27" s="13" t="s">
        <v>11</v>
      </c>
      <c r="B27" s="12">
        <v>60</v>
      </c>
      <c r="C27" s="3">
        <f>4800*B27</f>
        <v>288000</v>
      </c>
      <c r="D27" s="14">
        <f>C27/C26</f>
        <v>0.35783134932232924</v>
      </c>
    </row>
    <row r="28" spans="1:4" ht="15.95" customHeight="1" x14ac:dyDescent="0.25">
      <c r="A28" s="13" t="s">
        <v>12</v>
      </c>
      <c r="B28" s="12"/>
      <c r="C28" s="3">
        <v>142000</v>
      </c>
      <c r="D28" s="14">
        <f>C28/C26</f>
        <v>0.17643073473531512</v>
      </c>
    </row>
    <row r="29" spans="1:4" ht="24.6" customHeight="1" x14ac:dyDescent="0.25">
      <c r="A29" s="15" t="s">
        <v>13</v>
      </c>
      <c r="B29" s="16">
        <v>230</v>
      </c>
      <c r="C29" s="10">
        <f>220*B29</f>
        <v>50600</v>
      </c>
      <c r="D29" s="14">
        <f>C29/C26</f>
        <v>6.2868980123992571E-2</v>
      </c>
    </row>
    <row r="30" spans="1:4" x14ac:dyDescent="0.25">
      <c r="A30" s="17" t="s">
        <v>7</v>
      </c>
      <c r="B30" s="12"/>
      <c r="C30" s="25">
        <f>C26-C27-C28-C29</f>
        <v>324248.43081921758</v>
      </c>
      <c r="D30" s="14">
        <f>C30/C26</f>
        <v>0.40286893581836303</v>
      </c>
    </row>
    <row r="31" spans="1:4" ht="31.5" x14ac:dyDescent="0.25">
      <c r="A31" s="19" t="s">
        <v>14</v>
      </c>
      <c r="B31" s="20">
        <v>600</v>
      </c>
      <c r="C31" s="21">
        <f>C30/B31</f>
        <v>540.41405136536264</v>
      </c>
      <c r="D31" s="23"/>
    </row>
    <row r="32" spans="1:4" ht="31.5" x14ac:dyDescent="0.25">
      <c r="A32" s="19" t="s">
        <v>15</v>
      </c>
      <c r="B32" s="19"/>
      <c r="C32" s="10">
        <f>((C26*0.912)-C27-C28-C29)/B31</f>
        <v>422.36961484521083</v>
      </c>
    </row>
    <row r="33" spans="1:4" ht="18.75" x14ac:dyDescent="0.3">
      <c r="A33" s="100" t="s">
        <v>19</v>
      </c>
      <c r="B33" s="100"/>
      <c r="C33" s="100"/>
    </row>
    <row r="34" spans="1:4" ht="31.5" x14ac:dyDescent="0.25">
      <c r="A34" s="6" t="s">
        <v>20</v>
      </c>
      <c r="B34" s="24">
        <v>0.1</v>
      </c>
      <c r="C34" s="25">
        <f>PMT(B34/12,180,C8)*-12</f>
        <v>714413.38489092712</v>
      </c>
      <c r="D34" s="12" t="s">
        <v>10</v>
      </c>
    </row>
    <row r="35" spans="1:4" ht="31.5" x14ac:dyDescent="0.25">
      <c r="A35" s="13" t="s">
        <v>11</v>
      </c>
      <c r="B35" s="12">
        <v>60</v>
      </c>
      <c r="C35" s="25">
        <f>4800*B35</f>
        <v>288000</v>
      </c>
      <c r="D35" s="14">
        <f>C35/C34</f>
        <v>0.40312794537572993</v>
      </c>
    </row>
    <row r="36" spans="1:4" x14ac:dyDescent="0.25">
      <c r="A36" s="13" t="s">
        <v>12</v>
      </c>
      <c r="B36" s="12"/>
      <c r="C36" s="3">
        <v>142000</v>
      </c>
      <c r="D36" s="14">
        <f>C36/C34</f>
        <v>0.19876447306720019</v>
      </c>
    </row>
    <row r="37" spans="1:4" ht="31.5" x14ac:dyDescent="0.25">
      <c r="A37" s="15" t="s">
        <v>13</v>
      </c>
      <c r="B37" s="16">
        <v>230</v>
      </c>
      <c r="C37" s="10">
        <f>220*B37</f>
        <v>50600</v>
      </c>
      <c r="D37" s="14">
        <f>C37/C34</f>
        <v>7.0827340402819225E-2</v>
      </c>
    </row>
    <row r="38" spans="1:4" x14ac:dyDescent="0.25">
      <c r="A38" s="17" t="s">
        <v>7</v>
      </c>
      <c r="B38" s="15"/>
      <c r="C38" s="25">
        <f>C34-C35-C36-C37</f>
        <v>233813.38489092712</v>
      </c>
      <c r="D38" s="14">
        <f>C38/C34</f>
        <v>0.32728024115425064</v>
      </c>
    </row>
    <row r="39" spans="1:4" ht="31.5" x14ac:dyDescent="0.25">
      <c r="A39" s="19" t="s">
        <v>21</v>
      </c>
      <c r="B39" s="19">
        <v>600</v>
      </c>
      <c r="C39" s="21">
        <f>C38/B39</f>
        <v>389.68897481821188</v>
      </c>
    </row>
    <row r="40" spans="1:4" ht="31.5" x14ac:dyDescent="0.25">
      <c r="A40" s="19" t="s">
        <v>15</v>
      </c>
      <c r="B40" s="19"/>
      <c r="C40" s="10">
        <f>((C34*0.903)-C35-C36-C37)/B39</f>
        <v>274.1921442608454</v>
      </c>
    </row>
    <row r="41" spans="1:4" ht="18.75" x14ac:dyDescent="0.3">
      <c r="A41" s="100" t="s">
        <v>32</v>
      </c>
      <c r="B41" s="100"/>
      <c r="C41" s="100"/>
    </row>
    <row r="42" spans="1:4" ht="31.5" x14ac:dyDescent="0.25">
      <c r="A42" s="6" t="s">
        <v>20</v>
      </c>
      <c r="B42" s="24">
        <v>0.1</v>
      </c>
      <c r="C42" s="25">
        <f>PMT(B42/12,180,C$8)*-12</f>
        <v>714413.38489092712</v>
      </c>
      <c r="D42" s="12" t="s">
        <v>10</v>
      </c>
    </row>
    <row r="43" spans="1:4" ht="31.5" x14ac:dyDescent="0.25">
      <c r="A43" s="13" t="s">
        <v>11</v>
      </c>
      <c r="B43" s="12">
        <v>40</v>
      </c>
      <c r="C43" s="25">
        <f>4800*B43</f>
        <v>192000</v>
      </c>
      <c r="D43" s="14">
        <f>C43/C42</f>
        <v>0.26875196358381997</v>
      </c>
    </row>
    <row r="44" spans="1:4" x14ac:dyDescent="0.25">
      <c r="A44" s="13" t="s">
        <v>12</v>
      </c>
      <c r="B44" s="12"/>
      <c r="C44" s="3">
        <v>142000</v>
      </c>
      <c r="D44" s="14">
        <f>C44/C42</f>
        <v>0.19876447306720019</v>
      </c>
    </row>
    <row r="45" spans="1:4" ht="31.5" x14ac:dyDescent="0.25">
      <c r="A45" s="15" t="s">
        <v>13</v>
      </c>
      <c r="B45" s="16">
        <v>230</v>
      </c>
      <c r="C45" s="10">
        <f>220*B45</f>
        <v>50600</v>
      </c>
      <c r="D45" s="14">
        <f>C45/C42</f>
        <v>7.0827340402819225E-2</v>
      </c>
    </row>
    <row r="46" spans="1:4" x14ac:dyDescent="0.25">
      <c r="A46" s="17" t="s">
        <v>7</v>
      </c>
      <c r="B46" s="13"/>
      <c r="C46" s="25">
        <f>C42-C43-C44-C45</f>
        <v>329813.38489092712</v>
      </c>
      <c r="D46" s="14">
        <f>C46/C42</f>
        <v>0.46165622294616065</v>
      </c>
    </row>
    <row r="47" spans="1:4" ht="31.5" x14ac:dyDescent="0.25">
      <c r="A47" s="19" t="s">
        <v>23</v>
      </c>
      <c r="B47" s="26">
        <v>600</v>
      </c>
      <c r="C47" s="21">
        <f>C46/B47</f>
        <v>549.68897481821182</v>
      </c>
    </row>
    <row r="48" spans="1:4" ht="31.5" x14ac:dyDescent="0.25">
      <c r="A48" s="19" t="s">
        <v>15</v>
      </c>
      <c r="B48" s="22"/>
      <c r="C48" s="10">
        <f>((C42*0.903)-C43-C44-C45)/B47</f>
        <v>434.1921442608454</v>
      </c>
    </row>
    <row r="49" spans="1:4" ht="18.75" x14ac:dyDescent="0.3">
      <c r="A49" s="100" t="s">
        <v>24</v>
      </c>
      <c r="B49" s="100"/>
      <c r="C49" s="100"/>
    </row>
    <row r="50" spans="1:4" ht="31.5" x14ac:dyDescent="0.25">
      <c r="A50" s="6" t="s">
        <v>20</v>
      </c>
      <c r="B50" s="24">
        <v>0.1</v>
      </c>
      <c r="C50" s="25">
        <f>PMT(B50/12,180,C$8)*-12</f>
        <v>714413.38489092712</v>
      </c>
      <c r="D50" s="12" t="s">
        <v>10</v>
      </c>
    </row>
    <row r="51" spans="1:4" ht="31.5" x14ac:dyDescent="0.25">
      <c r="A51" s="13" t="s">
        <v>11</v>
      </c>
      <c r="B51" s="12">
        <v>0</v>
      </c>
      <c r="C51" s="25">
        <f>4800*B51</f>
        <v>0</v>
      </c>
      <c r="D51" s="14">
        <f>C51/C50</f>
        <v>0</v>
      </c>
    </row>
    <row r="52" spans="1:4" x14ac:dyDescent="0.25">
      <c r="A52" s="13" t="s">
        <v>12</v>
      </c>
      <c r="B52" s="12"/>
      <c r="C52" s="3">
        <v>142000</v>
      </c>
      <c r="D52" s="14">
        <f>C52/C50</f>
        <v>0.19876447306720019</v>
      </c>
    </row>
    <row r="53" spans="1:4" ht="31.5" x14ac:dyDescent="0.25">
      <c r="A53" s="15" t="s">
        <v>13</v>
      </c>
      <c r="B53" s="16">
        <v>230</v>
      </c>
      <c r="C53" s="10">
        <f>220*B53</f>
        <v>50600</v>
      </c>
      <c r="D53" s="14">
        <f>C53/C50</f>
        <v>7.0827340402819225E-2</v>
      </c>
    </row>
    <row r="54" spans="1:4" x14ac:dyDescent="0.25">
      <c r="A54" s="17" t="s">
        <v>7</v>
      </c>
      <c r="B54" s="13"/>
      <c r="C54" s="3">
        <f>C50-C51-C52-C53</f>
        <v>521813.38489092712</v>
      </c>
      <c r="D54" s="14">
        <f>C54/C50</f>
        <v>0.73040818652998063</v>
      </c>
    </row>
    <row r="55" spans="1:4" ht="31.5" x14ac:dyDescent="0.25">
      <c r="A55" s="19" t="s">
        <v>23</v>
      </c>
      <c r="B55" s="26">
        <v>600</v>
      </c>
      <c r="C55" s="63">
        <f>C54/B55</f>
        <v>869.68897481821182</v>
      </c>
    </row>
    <row r="56" spans="1:4" ht="31.5" x14ac:dyDescent="0.25">
      <c r="A56" s="19" t="s">
        <v>15</v>
      </c>
      <c r="B56" s="22"/>
      <c r="C56" s="10">
        <f>((C50*0.903)-C51-C52-C53)/B55</f>
        <v>754.19214426084534</v>
      </c>
    </row>
    <row r="58" spans="1:4" x14ac:dyDescent="0.25">
      <c r="A58" s="27" t="s">
        <v>33</v>
      </c>
      <c r="B58" s="27"/>
      <c r="C58" s="27"/>
    </row>
    <row r="59" spans="1:4" ht="18.75" customHeight="1" x14ac:dyDescent="0.25">
      <c r="A59" s="2" t="s">
        <v>30</v>
      </c>
      <c r="B59" s="2"/>
      <c r="C59" s="3">
        <f>'Construction Costs'!C25</f>
        <v>5430000</v>
      </c>
    </row>
    <row r="60" spans="1:4" ht="31.5" x14ac:dyDescent="0.25">
      <c r="A60" s="2" t="s">
        <v>2</v>
      </c>
      <c r="B60" s="4">
        <v>0.05</v>
      </c>
      <c r="C60" s="3">
        <f>'Construction Costs'!E25</f>
        <v>5873088</v>
      </c>
    </row>
    <row r="61" spans="1:4" ht="31.5" x14ac:dyDescent="0.25">
      <c r="A61" s="2" t="s">
        <v>5</v>
      </c>
      <c r="B61" s="4">
        <v>0.1</v>
      </c>
      <c r="C61" s="3">
        <f>C60*B61</f>
        <v>587308.80000000005</v>
      </c>
    </row>
    <row r="62" spans="1:4" x14ac:dyDescent="0.25">
      <c r="A62" s="6" t="s">
        <v>28</v>
      </c>
      <c r="B62" s="6"/>
      <c r="C62" s="7">
        <f>'Reserve Fund '!H18</f>
        <v>1114340.58</v>
      </c>
    </row>
    <row r="63" spans="1:4" x14ac:dyDescent="0.25">
      <c r="A63" s="8" t="s">
        <v>7</v>
      </c>
      <c r="B63" s="9"/>
      <c r="C63" s="10">
        <f>C60-C61-C62</f>
        <v>4171438.62</v>
      </c>
    </row>
    <row r="65" spans="1:4" ht="18.75" x14ac:dyDescent="0.3">
      <c r="A65" s="105" t="s">
        <v>25</v>
      </c>
      <c r="B65" s="105"/>
      <c r="C65" s="105"/>
    </row>
    <row r="66" spans="1:4" ht="12.6" customHeight="1" x14ac:dyDescent="0.25">
      <c r="A66" s="106" t="s">
        <v>26</v>
      </c>
      <c r="B66" s="106"/>
    </row>
    <row r="67" spans="1:4" ht="31.5" x14ac:dyDescent="0.25">
      <c r="A67" s="6" t="s">
        <v>20</v>
      </c>
      <c r="B67" s="24">
        <v>0.1</v>
      </c>
      <c r="C67" s="25">
        <f>PMT(B67/12,180,C63)*-12</f>
        <v>537917.91471087374</v>
      </c>
      <c r="D67" s="12" t="s">
        <v>10</v>
      </c>
    </row>
    <row r="68" spans="1:4" x14ac:dyDescent="0.25">
      <c r="A68" s="13" t="s">
        <v>12</v>
      </c>
      <c r="B68" s="12"/>
      <c r="C68" s="3">
        <v>142000</v>
      </c>
      <c r="D68" s="14">
        <f>C68/C67</f>
        <v>0.26398079728637369</v>
      </c>
    </row>
    <row r="69" spans="1:4" ht="31.5" x14ac:dyDescent="0.25">
      <c r="A69" s="15" t="s">
        <v>13</v>
      </c>
      <c r="B69" s="16">
        <v>230</v>
      </c>
      <c r="C69" s="10">
        <f>220*B69</f>
        <v>50600</v>
      </c>
      <c r="D69" s="14">
        <f>C69/C67</f>
        <v>9.4066396779510619E-2</v>
      </c>
    </row>
    <row r="70" spans="1:4" x14ac:dyDescent="0.25">
      <c r="A70" s="17" t="s">
        <v>7</v>
      </c>
      <c r="B70" s="13"/>
      <c r="C70" s="18">
        <f>C67-C68-C69</f>
        <v>345317.91471087374</v>
      </c>
      <c r="D70" s="14">
        <f>C70/C67</f>
        <v>0.64195280593411574</v>
      </c>
    </row>
    <row r="71" spans="1:4" ht="31.5" x14ac:dyDescent="0.25">
      <c r="A71" s="19" t="s">
        <v>23</v>
      </c>
      <c r="B71" s="26">
        <v>600</v>
      </c>
      <c r="C71" s="21">
        <f>C70/B71</f>
        <v>575.5298578514562</v>
      </c>
      <c r="D71" s="14"/>
    </row>
    <row r="72" spans="1:4" ht="31.5" x14ac:dyDescent="0.25">
      <c r="A72" s="19" t="s">
        <v>15</v>
      </c>
      <c r="B72" s="22"/>
      <c r="C72" s="10">
        <f>((C67*0.903)-C68-C69)/B71</f>
        <v>488.566461639865</v>
      </c>
    </row>
  </sheetData>
  <mergeCells count="8">
    <mergeCell ref="A49:C49"/>
    <mergeCell ref="A65:C65"/>
    <mergeCell ref="A66:B66"/>
    <mergeCell ref="A9:C9"/>
    <mergeCell ref="A17:C17"/>
    <mergeCell ref="A25:C25"/>
    <mergeCell ref="A33:C33"/>
    <mergeCell ref="A41:C41"/>
  </mergeCells>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workbookViewId="0">
      <selection activeCell="D4" sqref="D4:J18"/>
    </sheetView>
  </sheetViews>
  <sheetFormatPr defaultRowHeight="15.75" x14ac:dyDescent="0.25"/>
  <cols>
    <col min="1" max="1" width="15.125"/>
    <col min="2" max="2" width="3.875"/>
    <col min="3" max="3" width="11.875"/>
    <col min="4" max="4" width="11.5"/>
    <col min="5" max="5" width="11"/>
    <col min="6" max="6" width="10.125"/>
    <col min="7" max="7" width="11.125"/>
    <col min="8" max="8" width="10.375"/>
    <col min="9" max="10" width="10.875"/>
    <col min="11" max="1025" width="8.625"/>
  </cols>
  <sheetData>
    <row r="2" spans="1:11" ht="24" customHeight="1" x14ac:dyDescent="0.25">
      <c r="H2" s="111" t="s">
        <v>34</v>
      </c>
      <c r="I2" s="111"/>
    </row>
    <row r="3" spans="1:11" x14ac:dyDescent="0.25">
      <c r="B3" s="112"/>
      <c r="C3" s="112"/>
      <c r="D3" s="29" t="s">
        <v>35</v>
      </c>
      <c r="E3" s="29" t="s">
        <v>36</v>
      </c>
      <c r="F3" s="29" t="s">
        <v>37</v>
      </c>
      <c r="G3" s="29" t="s">
        <v>38</v>
      </c>
      <c r="H3" s="29" t="s">
        <v>39</v>
      </c>
      <c r="I3" s="29" t="s">
        <v>40</v>
      </c>
    </row>
    <row r="4" spans="1:11" x14ac:dyDescent="0.25">
      <c r="A4" s="108" t="s">
        <v>41</v>
      </c>
      <c r="B4" s="109" t="s">
        <v>42</v>
      </c>
      <c r="C4" s="109"/>
      <c r="D4" s="30">
        <v>15850</v>
      </c>
      <c r="E4" s="30">
        <v>8503</v>
      </c>
      <c r="F4" s="31">
        <v>12292</v>
      </c>
      <c r="G4" s="30">
        <v>14331</v>
      </c>
      <c r="H4" s="30">
        <v>10635</v>
      </c>
      <c r="I4" s="30">
        <v>10000</v>
      </c>
    </row>
    <row r="5" spans="1:11" x14ac:dyDescent="0.25">
      <c r="A5" s="108"/>
      <c r="B5" s="109" t="s">
        <v>43</v>
      </c>
      <c r="C5" s="109"/>
      <c r="D5" s="30">
        <v>77353</v>
      </c>
      <c r="E5" s="30">
        <v>105962.72</v>
      </c>
      <c r="F5" s="31">
        <v>126126</v>
      </c>
      <c r="G5" s="30">
        <v>142979</v>
      </c>
      <c r="H5" s="30">
        <v>155080</v>
      </c>
      <c r="I5" s="30">
        <v>160000</v>
      </c>
    </row>
    <row r="6" spans="1:11" x14ac:dyDescent="0.25">
      <c r="A6" s="108"/>
      <c r="B6" s="109" t="s">
        <v>44</v>
      </c>
      <c r="C6" s="109"/>
      <c r="D6" s="30">
        <v>148795.29</v>
      </c>
      <c r="E6" s="30">
        <v>156700.29999999999</v>
      </c>
      <c r="F6" s="31">
        <v>152067</v>
      </c>
      <c r="G6" s="30">
        <v>156630</v>
      </c>
      <c r="H6" s="30">
        <v>161522</v>
      </c>
      <c r="I6" s="30">
        <v>165000</v>
      </c>
      <c r="K6">
        <f>G6/285</f>
        <v>549.57894736842104</v>
      </c>
    </row>
    <row r="7" spans="1:11" x14ac:dyDescent="0.25">
      <c r="A7" s="108"/>
      <c r="B7" s="32"/>
      <c r="C7" s="33" t="s">
        <v>4</v>
      </c>
      <c r="D7" s="34">
        <f>SUM(D4:D6)</f>
        <v>241998.29</v>
      </c>
      <c r="E7" s="34">
        <f>SUM(E4:E6)</f>
        <v>271166.02</v>
      </c>
      <c r="F7" s="34">
        <v>290441</v>
      </c>
      <c r="G7" s="34">
        <f>SUM(G4:G6)</f>
        <v>313940</v>
      </c>
      <c r="H7" s="34">
        <f t="shared" ref="H7:I7" si="0">SUM(H4:H6)</f>
        <v>327237</v>
      </c>
      <c r="I7" s="34">
        <f t="shared" si="0"/>
        <v>335000</v>
      </c>
    </row>
    <row r="8" spans="1:11" x14ac:dyDescent="0.25">
      <c r="A8" s="108"/>
      <c r="B8" s="109" t="s">
        <v>45</v>
      </c>
      <c r="C8" s="109"/>
      <c r="D8" s="34">
        <v>0</v>
      </c>
      <c r="E8" s="34">
        <v>0</v>
      </c>
      <c r="F8" s="35">
        <v>46000</v>
      </c>
      <c r="G8" s="35">
        <v>46000</v>
      </c>
      <c r="H8" s="35">
        <v>48000</v>
      </c>
      <c r="I8" s="35">
        <v>50000</v>
      </c>
    </row>
    <row r="9" spans="1:11" x14ac:dyDescent="0.25">
      <c r="A9" s="108"/>
      <c r="B9" s="110" t="s">
        <v>46</v>
      </c>
      <c r="C9" s="110"/>
      <c r="D9" s="36">
        <f t="shared" ref="D9:I9" si="1">SUM(D7:D8)</f>
        <v>241998.29</v>
      </c>
      <c r="E9" s="36">
        <f t="shared" si="1"/>
        <v>271166.02</v>
      </c>
      <c r="F9" s="36">
        <f t="shared" si="1"/>
        <v>336441</v>
      </c>
      <c r="G9" s="36">
        <f t="shared" si="1"/>
        <v>359940</v>
      </c>
      <c r="H9" s="36">
        <f t="shared" si="1"/>
        <v>375237</v>
      </c>
      <c r="I9" s="36">
        <f t="shared" si="1"/>
        <v>385000</v>
      </c>
      <c r="J9" s="37"/>
    </row>
    <row r="10" spans="1:11" x14ac:dyDescent="0.25">
      <c r="A10" s="38"/>
      <c r="B10" s="39"/>
      <c r="C10" s="39"/>
      <c r="D10" s="40"/>
      <c r="E10" s="40"/>
      <c r="F10" s="40"/>
      <c r="G10" s="40"/>
      <c r="H10" s="40"/>
      <c r="I10" s="40"/>
      <c r="J10" s="37"/>
    </row>
    <row r="11" spans="1:11" ht="28.7" customHeight="1" x14ac:dyDescent="0.25">
      <c r="D11" s="40"/>
      <c r="E11" s="40"/>
      <c r="F11" s="40"/>
      <c r="G11" s="40"/>
      <c r="H11" s="40"/>
      <c r="I11" s="40"/>
      <c r="J11" s="75" t="s">
        <v>46</v>
      </c>
    </row>
    <row r="12" spans="1:11" x14ac:dyDescent="0.25">
      <c r="A12" s="108" t="s">
        <v>47</v>
      </c>
      <c r="B12" s="109" t="s">
        <v>48</v>
      </c>
      <c r="C12" s="109"/>
      <c r="D12" s="30">
        <v>76397.740000000005</v>
      </c>
      <c r="E12" s="30">
        <v>33725.449999999997</v>
      </c>
      <c r="F12" s="30">
        <v>0</v>
      </c>
      <c r="G12" s="30">
        <v>0</v>
      </c>
      <c r="H12" s="30">
        <v>36422</v>
      </c>
      <c r="I12" s="30">
        <v>59866</v>
      </c>
      <c r="J12" s="42">
        <f>SUM(D12:I12)</f>
        <v>206411.19</v>
      </c>
      <c r="K12" s="37"/>
    </row>
    <row r="13" spans="1:11" x14ac:dyDescent="0.25">
      <c r="A13" s="108"/>
      <c r="B13" s="109" t="s">
        <v>49</v>
      </c>
      <c r="C13" s="109"/>
      <c r="D13" s="30">
        <v>0</v>
      </c>
      <c r="E13" s="30">
        <v>323896.53999999998</v>
      </c>
      <c r="F13" s="30">
        <v>0</v>
      </c>
      <c r="G13" s="30">
        <v>0</v>
      </c>
      <c r="H13" s="30"/>
      <c r="I13" s="30"/>
      <c r="J13" s="42">
        <f>SUM(D13:I13)</f>
        <v>323896.53999999998</v>
      </c>
    </row>
    <row r="14" spans="1:11" x14ac:dyDescent="0.25">
      <c r="A14" s="108"/>
      <c r="B14" s="109" t="s">
        <v>50</v>
      </c>
      <c r="C14" s="109"/>
      <c r="D14" s="30">
        <v>0</v>
      </c>
      <c r="E14" s="30">
        <v>0</v>
      </c>
      <c r="F14" s="30">
        <v>0</v>
      </c>
      <c r="G14" s="30">
        <v>0</v>
      </c>
      <c r="H14" s="30" t="s">
        <v>88</v>
      </c>
      <c r="I14" s="30" t="s">
        <v>88</v>
      </c>
      <c r="J14" s="42">
        <f>SUM(D14:I14)</f>
        <v>0</v>
      </c>
    </row>
    <row r="15" spans="1:11" x14ac:dyDescent="0.25">
      <c r="A15" s="108"/>
      <c r="B15" s="110" t="s">
        <v>46</v>
      </c>
      <c r="C15" s="110"/>
      <c r="D15" s="36">
        <f t="shared" ref="D15:I15" si="2">SUM(D12:D14)</f>
        <v>76397.740000000005</v>
      </c>
      <c r="E15" s="36">
        <f t="shared" si="2"/>
        <v>357621.99</v>
      </c>
      <c r="F15" s="36">
        <f t="shared" si="2"/>
        <v>0</v>
      </c>
      <c r="G15" s="36">
        <f t="shared" si="2"/>
        <v>0</v>
      </c>
      <c r="H15" s="36">
        <f t="shared" si="2"/>
        <v>36422</v>
      </c>
      <c r="I15" s="36">
        <f t="shared" si="2"/>
        <v>59866</v>
      </c>
      <c r="J15" s="43">
        <f>SUM(D15:I15)</f>
        <v>530307.73</v>
      </c>
    </row>
    <row r="16" spans="1:11" x14ac:dyDescent="0.25">
      <c r="D16" s="40"/>
      <c r="E16" s="40"/>
      <c r="F16" s="40"/>
      <c r="G16" s="40"/>
      <c r="H16" s="40"/>
      <c r="I16" s="40"/>
      <c r="K16" s="37"/>
    </row>
    <row r="17" spans="2:9" ht="18.75" x14ac:dyDescent="0.3">
      <c r="B17" s="107" t="s">
        <v>51</v>
      </c>
      <c r="C17" s="107"/>
      <c r="D17" s="30">
        <f t="shared" ref="D17:I17" si="3">D9-D15</f>
        <v>165600.54999999999</v>
      </c>
      <c r="E17" s="30">
        <f t="shared" si="3"/>
        <v>-86455.969999999972</v>
      </c>
      <c r="F17" s="30">
        <f t="shared" si="3"/>
        <v>336441</v>
      </c>
      <c r="G17" s="30">
        <f t="shared" si="3"/>
        <v>359940</v>
      </c>
      <c r="H17" s="30">
        <f t="shared" si="3"/>
        <v>338815</v>
      </c>
      <c r="I17" s="30">
        <f t="shared" si="3"/>
        <v>325134</v>
      </c>
    </row>
    <row r="18" spans="2:9" ht="18.75" x14ac:dyDescent="0.3">
      <c r="B18" s="107" t="s">
        <v>52</v>
      </c>
      <c r="C18" s="107"/>
      <c r="D18" s="30">
        <f>D17</f>
        <v>165600.54999999999</v>
      </c>
      <c r="E18" s="30">
        <f>D18+E17</f>
        <v>79144.580000000016</v>
      </c>
      <c r="F18" s="30">
        <f>E18+F17</f>
        <v>415585.58</v>
      </c>
      <c r="G18" s="30">
        <f>F18+G17</f>
        <v>775525.58000000007</v>
      </c>
      <c r="H18" s="30">
        <f>G18+H17</f>
        <v>1114340.58</v>
      </c>
      <c r="I18" s="30">
        <f>H18+I17</f>
        <v>1439474.58</v>
      </c>
    </row>
    <row r="20" spans="2:9" x14ac:dyDescent="0.25">
      <c r="H20" s="37"/>
    </row>
  </sheetData>
  <mergeCells count="15">
    <mergeCell ref="H2:I2"/>
    <mergeCell ref="B3:C3"/>
    <mergeCell ref="A4:A9"/>
    <mergeCell ref="B4:C4"/>
    <mergeCell ref="B5:C5"/>
    <mergeCell ref="B6:C6"/>
    <mergeCell ref="B8:C8"/>
    <mergeCell ref="B9:C9"/>
    <mergeCell ref="B17:C17"/>
    <mergeCell ref="B18:C18"/>
    <mergeCell ref="A12:A15"/>
    <mergeCell ref="B12:C12"/>
    <mergeCell ref="B13:C13"/>
    <mergeCell ref="B14:C14"/>
    <mergeCell ref="B15:C15"/>
  </mergeCells>
  <printOptions horizontalCentered="1"/>
  <pageMargins left="0.31527777777777799" right="0.31527777777777799" top="0.74791666666666701" bottom="0.74791666666666701"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7" workbookViewId="0">
      <selection activeCell="H11" sqref="H11:I11"/>
    </sheetView>
  </sheetViews>
  <sheetFormatPr defaultRowHeight="15.75" x14ac:dyDescent="0.25"/>
  <cols>
    <col min="1" max="1" width="16.125"/>
    <col min="2" max="2" width="3.875"/>
    <col min="3" max="3" width="11.875"/>
    <col min="4" max="4" width="11.5"/>
    <col min="5" max="6" width="10.125"/>
    <col min="7" max="7" width="11.125"/>
    <col min="8" max="8" width="10.375"/>
    <col min="9" max="9" width="10.875"/>
    <col min="10" max="10" width="10.125" customWidth="1"/>
    <col min="11" max="11" width="10.125" bestFit="1" customWidth="1"/>
    <col min="12" max="12" width="10.875" bestFit="1" customWidth="1"/>
    <col min="13" max="1025" width="8.625"/>
  </cols>
  <sheetData>
    <row r="1" spans="1:11" x14ac:dyDescent="0.25">
      <c r="A1" s="44" t="s">
        <v>53</v>
      </c>
    </row>
    <row r="2" spans="1:11" x14ac:dyDescent="0.25">
      <c r="C2" s="29" t="s">
        <v>54</v>
      </c>
      <c r="D2" s="29" t="s">
        <v>35</v>
      </c>
      <c r="E2" s="29" t="s">
        <v>36</v>
      </c>
      <c r="F2" s="29" t="s">
        <v>37</v>
      </c>
      <c r="G2" s="29" t="s">
        <v>38</v>
      </c>
      <c r="H2" s="29" t="s">
        <v>39</v>
      </c>
      <c r="I2" s="29" t="s">
        <v>40</v>
      </c>
    </row>
    <row r="3" spans="1:11" x14ac:dyDescent="0.25">
      <c r="A3" s="109" t="s">
        <v>55</v>
      </c>
      <c r="B3" s="109"/>
      <c r="C3" s="30">
        <v>5739505</v>
      </c>
      <c r="D3" s="42">
        <f t="shared" ref="D3:I3" si="0">C3+C4</f>
        <v>5969085.2000000002</v>
      </c>
      <c r="E3" s="42">
        <f t="shared" si="0"/>
        <v>6207848.608</v>
      </c>
      <c r="F3" s="42">
        <f t="shared" si="0"/>
        <v>6456162.5523199998</v>
      </c>
      <c r="G3" s="42">
        <f t="shared" si="0"/>
        <v>6714409.0544127999</v>
      </c>
      <c r="H3" s="42">
        <f t="shared" si="0"/>
        <v>6982985.4165893123</v>
      </c>
      <c r="I3" s="42">
        <f t="shared" si="0"/>
        <v>7262304.8332528844</v>
      </c>
    </row>
    <row r="4" spans="1:11" x14ac:dyDescent="0.25">
      <c r="A4" t="s">
        <v>56</v>
      </c>
      <c r="B4" s="45">
        <f>'Main Loan Scenarios'!C4</f>
        <v>0.04</v>
      </c>
      <c r="C4" s="42">
        <f t="shared" ref="C4:I4" si="1">C3*$B$4</f>
        <v>229580.2</v>
      </c>
      <c r="D4" s="42">
        <f t="shared" si="1"/>
        <v>238763.40800000002</v>
      </c>
      <c r="E4" s="42">
        <f t="shared" si="1"/>
        <v>248313.94432000001</v>
      </c>
      <c r="F4" s="42">
        <f t="shared" si="1"/>
        <v>258246.50209279999</v>
      </c>
      <c r="G4" s="42">
        <f t="shared" si="1"/>
        <v>268576.36217651202</v>
      </c>
      <c r="H4" s="42">
        <f t="shared" si="1"/>
        <v>279319.41666357248</v>
      </c>
      <c r="I4" s="42">
        <f t="shared" si="1"/>
        <v>290492.19333011541</v>
      </c>
    </row>
    <row r="5" spans="1:11" x14ac:dyDescent="0.25">
      <c r="A5" s="109" t="s">
        <v>57</v>
      </c>
      <c r="B5" s="109"/>
      <c r="C5" s="42">
        <f>C4</f>
        <v>229580.2</v>
      </c>
      <c r="D5" s="42">
        <f t="shared" ref="D5:I5" si="2">C5+D4</f>
        <v>468343.60800000001</v>
      </c>
      <c r="E5" s="42">
        <f t="shared" si="2"/>
        <v>716657.55232000002</v>
      </c>
      <c r="F5" s="42">
        <f t="shared" si="2"/>
        <v>974904.0544128</v>
      </c>
      <c r="G5" s="42">
        <f t="shared" si="2"/>
        <v>1243480.416589312</v>
      </c>
      <c r="H5" s="42">
        <f t="shared" si="2"/>
        <v>1522799.8332528844</v>
      </c>
      <c r="I5" s="42">
        <f t="shared" si="2"/>
        <v>1813292.0265829999</v>
      </c>
    </row>
    <row r="6" spans="1:11" x14ac:dyDescent="0.25">
      <c r="C6" s="113" t="s">
        <v>58</v>
      </c>
      <c r="D6" s="113"/>
      <c r="E6" s="113"/>
      <c r="F6" s="113"/>
      <c r="G6" s="113"/>
      <c r="H6" s="113"/>
      <c r="I6" s="113"/>
    </row>
    <row r="8" spans="1:11" x14ac:dyDescent="0.25">
      <c r="A8" s="44" t="s">
        <v>59</v>
      </c>
      <c r="B8" s="44"/>
      <c r="C8" s="44"/>
    </row>
    <row r="9" spans="1:11" x14ac:dyDescent="0.25">
      <c r="C9" s="29" t="s">
        <v>54</v>
      </c>
      <c r="D9" s="29" t="s">
        <v>35</v>
      </c>
      <c r="E9" s="29" t="s">
        <v>36</v>
      </c>
      <c r="F9" s="29" t="s">
        <v>37</v>
      </c>
      <c r="G9" s="29" t="s">
        <v>38</v>
      </c>
      <c r="H9" s="29" t="s">
        <v>39</v>
      </c>
      <c r="I9" s="29" t="s">
        <v>40</v>
      </c>
    </row>
    <row r="10" spans="1:11" x14ac:dyDescent="0.25">
      <c r="A10" s="109" t="s">
        <v>55</v>
      </c>
      <c r="B10" s="109"/>
      <c r="C10" s="30">
        <v>4085755</v>
      </c>
      <c r="D10" s="42">
        <f t="shared" ref="D10:I10" si="3">C10+C11</f>
        <v>4249185.2</v>
      </c>
      <c r="E10" s="42">
        <f t="shared" si="3"/>
        <v>4419152.608</v>
      </c>
      <c r="F10" s="42">
        <f t="shared" si="3"/>
        <v>4595918.7123199999</v>
      </c>
      <c r="G10" s="42">
        <f t="shared" si="3"/>
        <v>4779755.4608127996</v>
      </c>
      <c r="H10" s="42">
        <f t="shared" si="3"/>
        <v>4970945.6792453118</v>
      </c>
      <c r="I10" s="42">
        <f t="shared" si="3"/>
        <v>5169783.5064151241</v>
      </c>
      <c r="K10" s="60"/>
    </row>
    <row r="11" spans="1:11" x14ac:dyDescent="0.25">
      <c r="A11" t="s">
        <v>56</v>
      </c>
      <c r="B11" s="45">
        <f>B4</f>
        <v>0.04</v>
      </c>
      <c r="C11" s="42">
        <f t="shared" ref="C11:I11" si="4">C10*$B$4</f>
        <v>163430.20000000001</v>
      </c>
      <c r="D11" s="42">
        <f t="shared" si="4"/>
        <v>169967.40800000002</v>
      </c>
      <c r="E11" s="42">
        <f t="shared" si="4"/>
        <v>176766.10432000001</v>
      </c>
      <c r="F11" s="42">
        <f t="shared" si="4"/>
        <v>183836.74849279999</v>
      </c>
      <c r="G11" s="42">
        <f t="shared" si="4"/>
        <v>191190.21843251199</v>
      </c>
      <c r="H11" s="42">
        <f t="shared" si="4"/>
        <v>198837.82716981249</v>
      </c>
      <c r="I11" s="42">
        <f t="shared" si="4"/>
        <v>206791.34025660498</v>
      </c>
    </row>
    <row r="12" spans="1:11" x14ac:dyDescent="0.25">
      <c r="A12" s="109" t="s">
        <v>57</v>
      </c>
      <c r="B12" s="109"/>
      <c r="C12" s="42">
        <f>C11</f>
        <v>163430.20000000001</v>
      </c>
      <c r="D12" s="42">
        <f t="shared" ref="D12:I12" si="5">C12+D11</f>
        <v>333397.60800000001</v>
      </c>
      <c r="E12" s="42">
        <f t="shared" si="5"/>
        <v>510163.71232000005</v>
      </c>
      <c r="F12" s="42">
        <f t="shared" si="5"/>
        <v>694000.4608128001</v>
      </c>
      <c r="G12" s="42">
        <f t="shared" si="5"/>
        <v>885190.67924531212</v>
      </c>
      <c r="H12" s="42">
        <f t="shared" si="5"/>
        <v>1084028.5064151245</v>
      </c>
      <c r="I12" s="42">
        <f t="shared" si="5"/>
        <v>1290819.8466717296</v>
      </c>
    </row>
    <row r="13" spans="1:11" x14ac:dyDescent="0.25">
      <c r="C13" s="113" t="s">
        <v>58</v>
      </c>
      <c r="D13" s="113"/>
      <c r="E13" s="113"/>
      <c r="F13" s="113"/>
      <c r="G13" s="113"/>
      <c r="H13" s="113"/>
      <c r="I13" s="113"/>
    </row>
    <row r="16" spans="1:11" x14ac:dyDescent="0.25">
      <c r="A16" s="44" t="s">
        <v>60</v>
      </c>
    </row>
    <row r="17" spans="1:9" x14ac:dyDescent="0.25">
      <c r="C17" s="46" t="s">
        <v>37</v>
      </c>
      <c r="D17" s="46" t="s">
        <v>38</v>
      </c>
      <c r="E17" s="46" t="s">
        <v>39</v>
      </c>
      <c r="F17" s="46" t="s">
        <v>40</v>
      </c>
    </row>
    <row r="18" spans="1:9" x14ac:dyDescent="0.25">
      <c r="A18" s="109" t="s">
        <v>55</v>
      </c>
      <c r="B18" s="109"/>
      <c r="C18" s="30">
        <f>'Main Loan Scenarios'!D3</f>
        <v>7275999.5</v>
      </c>
      <c r="D18" s="42">
        <f>C18+C19</f>
        <v>7567039.4800000004</v>
      </c>
      <c r="E18" s="42">
        <f>D18+D19</f>
        <v>7869721.0592</v>
      </c>
      <c r="F18" s="42">
        <f>E18+E19</f>
        <v>8184509.9015680002</v>
      </c>
    </row>
    <row r="19" spans="1:9" x14ac:dyDescent="0.25">
      <c r="A19" t="s">
        <v>56</v>
      </c>
      <c r="B19" s="45">
        <f>B11</f>
        <v>0.04</v>
      </c>
      <c r="C19" s="42">
        <f>C18*$B$4</f>
        <v>291039.98</v>
      </c>
      <c r="D19" s="42">
        <f>D18*$B$4</f>
        <v>302681.57920000004</v>
      </c>
      <c r="E19" s="42">
        <f>E18*$B$4</f>
        <v>314788.84236800001</v>
      </c>
      <c r="F19" s="42">
        <f>F18*$B$4</f>
        <v>327380.39606272004</v>
      </c>
    </row>
    <row r="20" spans="1:9" x14ac:dyDescent="0.25">
      <c r="A20" s="109" t="s">
        <v>57</v>
      </c>
      <c r="B20" s="109"/>
      <c r="C20" s="42">
        <f>C19</f>
        <v>291039.98</v>
      </c>
      <c r="D20" s="42">
        <f>C20+D19</f>
        <v>593721.55920000002</v>
      </c>
      <c r="E20" s="42">
        <f>D20+E19</f>
        <v>908510.40156799997</v>
      </c>
      <c r="F20" s="42">
        <f>E20+F19</f>
        <v>1235890.7976307201</v>
      </c>
    </row>
    <row r="21" spans="1:9" x14ac:dyDescent="0.25">
      <c r="C21" s="113" t="s">
        <v>58</v>
      </c>
      <c r="D21" s="113"/>
      <c r="E21" s="113"/>
      <c r="F21" s="113"/>
      <c r="G21" s="113"/>
      <c r="H21" s="113"/>
      <c r="I21" s="113"/>
    </row>
    <row r="23" spans="1:9" x14ac:dyDescent="0.25">
      <c r="A23" s="44" t="s">
        <v>61</v>
      </c>
      <c r="B23" s="44"/>
      <c r="C23" s="44"/>
      <c r="D23" s="44"/>
    </row>
    <row r="24" spans="1:9" x14ac:dyDescent="0.25">
      <c r="C24" s="46" t="s">
        <v>37</v>
      </c>
      <c r="D24" s="46" t="s">
        <v>39</v>
      </c>
      <c r="E24" s="46" t="s">
        <v>40</v>
      </c>
    </row>
    <row r="25" spans="1:9" x14ac:dyDescent="0.25">
      <c r="A25" s="109" t="s">
        <v>55</v>
      </c>
      <c r="B25" s="109"/>
      <c r="C25" s="30">
        <v>5430000</v>
      </c>
      <c r="D25" s="42">
        <f>C25+C26</f>
        <v>5647200</v>
      </c>
      <c r="E25" s="42">
        <f>D25+D26</f>
        <v>5873088</v>
      </c>
    </row>
    <row r="26" spans="1:9" x14ac:dyDescent="0.25">
      <c r="A26" t="s">
        <v>56</v>
      </c>
      <c r="B26" s="45">
        <f>B18</f>
        <v>0</v>
      </c>
      <c r="C26" s="42">
        <f>C25*$B$4</f>
        <v>217200</v>
      </c>
      <c r="D26" s="42">
        <f>D25*$B$4</f>
        <v>225888</v>
      </c>
      <c r="E26" s="42">
        <f>E25*$B$4</f>
        <v>234923.52000000002</v>
      </c>
    </row>
    <row r="27" spans="1:9" x14ac:dyDescent="0.25">
      <c r="A27" s="109" t="s">
        <v>57</v>
      </c>
      <c r="B27" s="109"/>
      <c r="C27" s="42">
        <f>C26</f>
        <v>217200</v>
      </c>
      <c r="D27" s="42">
        <f>C27+D26</f>
        <v>443088</v>
      </c>
      <c r="E27" s="42">
        <f>D27+E26</f>
        <v>678011.52</v>
      </c>
    </row>
    <row r="28" spans="1:9" x14ac:dyDescent="0.25">
      <c r="C28" s="113" t="s">
        <v>58</v>
      </c>
      <c r="D28" s="113"/>
      <c r="E28" s="113"/>
      <c r="F28" s="113"/>
      <c r="G28" s="113"/>
      <c r="H28" s="113"/>
      <c r="I28" s="113"/>
    </row>
  </sheetData>
  <mergeCells count="12">
    <mergeCell ref="A3:B3"/>
    <mergeCell ref="A5:B5"/>
    <mergeCell ref="C6:I6"/>
    <mergeCell ref="A10:B10"/>
    <mergeCell ref="A12:B12"/>
    <mergeCell ref="A27:B27"/>
    <mergeCell ref="C28:I28"/>
    <mergeCell ref="C13:I13"/>
    <mergeCell ref="A18:B18"/>
    <mergeCell ref="A20:B20"/>
    <mergeCell ref="C21:I21"/>
    <mergeCell ref="A25:B25"/>
  </mergeCells>
  <printOptions horizontalCentered="1"/>
  <pageMargins left="0.31527777777777799" right="0.31527777777777799" top="0.74791666666666701" bottom="0.74791666666666701" header="0.51180555555555496" footer="0.51180555555555496"/>
  <pageSetup paperSize="9" firstPageNumber="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H11" sqref="H11:I11"/>
    </sheetView>
  </sheetViews>
  <sheetFormatPr defaultRowHeight="15.75" x14ac:dyDescent="0.25"/>
  <cols>
    <col min="1" max="1" width="21.125"/>
    <col min="2" max="2" width="15.875"/>
    <col min="3" max="3" width="16.875"/>
    <col min="4" max="4" width="16.125"/>
    <col min="5" max="5" width="10.125"/>
    <col min="6" max="6" width="16.375"/>
    <col min="7" max="7" width="10.5"/>
    <col min="8" max="8" width="10.125"/>
    <col min="9" max="1025" width="8.625"/>
  </cols>
  <sheetData>
    <row r="1" spans="1:9" s="48" customFormat="1" ht="28.7" customHeight="1" x14ac:dyDescent="0.25">
      <c r="A1" s="41"/>
      <c r="B1" s="28" t="s">
        <v>62</v>
      </c>
      <c r="C1" s="28" t="s">
        <v>63</v>
      </c>
      <c r="D1" s="41" t="s">
        <v>64</v>
      </c>
      <c r="E1" s="41" t="s">
        <v>65</v>
      </c>
      <c r="F1" s="47"/>
    </row>
    <row r="2" spans="1:9" x14ac:dyDescent="0.25">
      <c r="A2" s="49" t="s">
        <v>66</v>
      </c>
      <c r="B2" s="30">
        <v>1511400</v>
      </c>
      <c r="C2" s="30">
        <v>205000</v>
      </c>
      <c r="D2" s="30">
        <v>528896</v>
      </c>
      <c r="E2" s="42">
        <f>D2-C2</f>
        <v>323896</v>
      </c>
      <c r="F2" s="50"/>
    </row>
    <row r="3" spans="1:9" x14ac:dyDescent="0.25">
      <c r="A3" s="49" t="s">
        <v>67</v>
      </c>
      <c r="B3" s="30">
        <v>5205900</v>
      </c>
      <c r="C3" s="30">
        <v>500000</v>
      </c>
      <c r="D3" s="46"/>
      <c r="E3" s="42">
        <f>B3-C3</f>
        <v>4705900</v>
      </c>
      <c r="F3" s="50"/>
      <c r="H3" s="37"/>
      <c r="I3" s="37"/>
    </row>
    <row r="4" spans="1:9" x14ac:dyDescent="0.25">
      <c r="A4" s="49" t="s">
        <v>68</v>
      </c>
      <c r="B4" s="30">
        <v>4128300</v>
      </c>
      <c r="C4" s="30">
        <v>500000</v>
      </c>
      <c r="D4" s="46"/>
      <c r="E4" s="42">
        <f>B4-C4</f>
        <v>3628300</v>
      </c>
      <c r="F4" s="50"/>
      <c r="H4" s="37"/>
      <c r="I4" s="37"/>
    </row>
    <row r="5" spans="1:9" x14ac:dyDescent="0.25">
      <c r="A5" s="51"/>
      <c r="B5" s="40"/>
      <c r="C5" s="40"/>
      <c r="D5" s="52"/>
      <c r="E5" s="53"/>
      <c r="F5" s="50"/>
      <c r="H5" s="37"/>
      <c r="I5" s="37"/>
    </row>
    <row r="7" spans="1:9" x14ac:dyDescent="0.25">
      <c r="C7" s="115" t="s">
        <v>68</v>
      </c>
      <c r="D7" s="115"/>
      <c r="E7" s="115" t="s">
        <v>67</v>
      </c>
      <c r="F7" s="115"/>
    </row>
    <row r="8" spans="1:9" s="55" customFormat="1" ht="33" x14ac:dyDescent="0.35">
      <c r="A8" s="54" t="s">
        <v>69</v>
      </c>
      <c r="B8" s="28" t="s">
        <v>70</v>
      </c>
      <c r="C8" s="41" t="s">
        <v>71</v>
      </c>
      <c r="D8" s="28" t="s">
        <v>72</v>
      </c>
      <c r="E8" s="41" t="s">
        <v>71</v>
      </c>
      <c r="F8" s="28" t="s">
        <v>72</v>
      </c>
    </row>
    <row r="9" spans="1:9" x14ac:dyDescent="0.25">
      <c r="A9" s="49" t="s">
        <v>73</v>
      </c>
      <c r="B9" s="30">
        <v>140</v>
      </c>
      <c r="C9" s="30">
        <v>948</v>
      </c>
      <c r="D9" s="30">
        <v>710</v>
      </c>
      <c r="E9" s="30">
        <v>698</v>
      </c>
      <c r="F9" s="30">
        <v>710</v>
      </c>
      <c r="I9" s="37"/>
    </row>
    <row r="10" spans="1:9" x14ac:dyDescent="0.25">
      <c r="A10" s="49" t="s">
        <v>74</v>
      </c>
      <c r="B10" s="30">
        <v>455</v>
      </c>
      <c r="C10" s="30">
        <v>683</v>
      </c>
      <c r="D10" s="30">
        <v>515</v>
      </c>
      <c r="E10" s="30">
        <v>321</v>
      </c>
      <c r="F10" s="30">
        <v>240</v>
      </c>
    </row>
    <row r="11" spans="1:9" x14ac:dyDescent="0.25">
      <c r="A11" s="56"/>
      <c r="B11" s="57" t="s">
        <v>46</v>
      </c>
      <c r="C11" s="58">
        <f>SUM(C9:C10)</f>
        <v>1631</v>
      </c>
      <c r="D11" s="58">
        <f>SUM(D9:D10)</f>
        <v>1225</v>
      </c>
      <c r="E11" s="58">
        <f>SUM(E9:E10)</f>
        <v>1019</v>
      </c>
      <c r="F11" s="58">
        <f>SUM(F9:F10)</f>
        <v>950</v>
      </c>
    </row>
    <row r="12" spans="1:9" x14ac:dyDescent="0.25">
      <c r="B12" s="55"/>
      <c r="C12" s="55"/>
      <c r="D12" s="55"/>
    </row>
    <row r="13" spans="1:9" x14ac:dyDescent="0.25">
      <c r="C13" s="115" t="s">
        <v>75</v>
      </c>
      <c r="D13" s="115"/>
      <c r="E13" s="115"/>
      <c r="F13" s="115"/>
    </row>
    <row r="14" spans="1:9" x14ac:dyDescent="0.25">
      <c r="C14" s="115" t="s">
        <v>68</v>
      </c>
      <c r="D14" s="115"/>
      <c r="E14" s="115" t="s">
        <v>67</v>
      </c>
      <c r="F14" s="115"/>
    </row>
    <row r="15" spans="1:9" ht="33" x14ac:dyDescent="0.35">
      <c r="A15" s="59" t="s">
        <v>76</v>
      </c>
      <c r="B15" s="28" t="s">
        <v>77</v>
      </c>
      <c r="C15" s="41" t="s">
        <v>71</v>
      </c>
      <c r="D15" s="28" t="s">
        <v>72</v>
      </c>
      <c r="E15" s="41" t="s">
        <v>71</v>
      </c>
      <c r="F15" s="28" t="s">
        <v>72</v>
      </c>
    </row>
    <row r="16" spans="1:9" x14ac:dyDescent="0.25">
      <c r="A16" s="49" t="s">
        <v>73</v>
      </c>
      <c r="B16" s="30">
        <v>210</v>
      </c>
      <c r="C16" s="30">
        <f t="shared" ref="C16:F17" si="0">C9*($B9/$B16)</f>
        <v>632</v>
      </c>
      <c r="D16" s="30">
        <f t="shared" si="0"/>
        <v>473.33333333333331</v>
      </c>
      <c r="E16" s="30">
        <f t="shared" si="0"/>
        <v>465.33333333333331</v>
      </c>
      <c r="F16" s="30">
        <f t="shared" si="0"/>
        <v>473.33333333333331</v>
      </c>
    </row>
    <row r="17" spans="1:6" x14ac:dyDescent="0.25">
      <c r="A17" s="49" t="s">
        <v>74</v>
      </c>
      <c r="B17" s="30">
        <v>550</v>
      </c>
      <c r="C17" s="30">
        <f t="shared" si="0"/>
        <v>565.0272727272727</v>
      </c>
      <c r="D17" s="30">
        <f t="shared" si="0"/>
        <v>426.04545454545456</v>
      </c>
      <c r="E17" s="30">
        <f t="shared" si="0"/>
        <v>265.55454545454546</v>
      </c>
      <c r="F17" s="30">
        <f t="shared" si="0"/>
        <v>198.54545454545453</v>
      </c>
    </row>
    <row r="18" spans="1:6" x14ac:dyDescent="0.25">
      <c r="A18" s="56"/>
      <c r="B18" s="57" t="s">
        <v>46</v>
      </c>
      <c r="C18" s="58">
        <f>SUM(C16:C17)</f>
        <v>1197.0272727272727</v>
      </c>
      <c r="D18" s="58">
        <f>SUM(D16:D17)</f>
        <v>899.37878787878788</v>
      </c>
      <c r="E18" s="58">
        <f>SUM(E16:E17)</f>
        <v>730.88787878787878</v>
      </c>
      <c r="F18" s="58">
        <f>SUM(F16:F17)</f>
        <v>671.87878787878788</v>
      </c>
    </row>
    <row r="19" spans="1:6" ht="30.6" customHeight="1" x14ac:dyDescent="0.25">
      <c r="A19" s="114" t="s">
        <v>78</v>
      </c>
      <c r="B19" s="114"/>
      <c r="C19" s="114"/>
      <c r="D19" s="114"/>
      <c r="E19" s="114"/>
      <c r="F19" s="114"/>
    </row>
  </sheetData>
  <mergeCells count="6">
    <mergeCell ref="A19:F19"/>
    <mergeCell ref="C7:D7"/>
    <mergeCell ref="E7:F7"/>
    <mergeCell ref="C13:F13"/>
    <mergeCell ref="C14:D14"/>
    <mergeCell ref="E14:F14"/>
  </mergeCells>
  <printOptions horizontalCentered="1"/>
  <pageMargins left="0.31527777777777799" right="0.31527777777777799" top="0.74791666666666701" bottom="0.74791666666666701"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10" workbookViewId="0">
      <selection activeCell="H11" sqref="H11:I11"/>
    </sheetView>
  </sheetViews>
  <sheetFormatPr defaultRowHeight="15.75" x14ac:dyDescent="0.25"/>
  <cols>
    <col min="1" max="1" width="55.5" customWidth="1"/>
    <col min="3" max="3" width="13.625" customWidth="1"/>
  </cols>
  <sheetData>
    <row r="1" spans="1:3" x14ac:dyDescent="0.25">
      <c r="A1" t="s">
        <v>29</v>
      </c>
      <c r="B1" s="1" t="s">
        <v>0</v>
      </c>
    </row>
    <row r="2" spans="1:3" x14ac:dyDescent="0.25">
      <c r="A2" s="6" t="s">
        <v>30</v>
      </c>
      <c r="B2" s="6"/>
      <c r="C2" s="3">
        <f>'[1]Construction Costs'!C25</f>
        <v>5430000</v>
      </c>
    </row>
    <row r="3" spans="1:3" ht="31.5" x14ac:dyDescent="0.25">
      <c r="A3" s="6" t="s">
        <v>2</v>
      </c>
      <c r="B3" s="4">
        <v>0.05</v>
      </c>
      <c r="C3" s="3">
        <f>'[1]Construction Costs'!E25</f>
        <v>5986575</v>
      </c>
    </row>
    <row r="4" spans="1:3" x14ac:dyDescent="0.25">
      <c r="A4" s="6" t="s">
        <v>3</v>
      </c>
      <c r="B4" s="4"/>
      <c r="C4" s="3">
        <v>0</v>
      </c>
    </row>
    <row r="5" spans="1:3" x14ac:dyDescent="0.25">
      <c r="A5" s="5" t="s">
        <v>4</v>
      </c>
      <c r="B5" s="4"/>
      <c r="C5" s="3">
        <f>SUM(C3:C4)</f>
        <v>5986575</v>
      </c>
    </row>
    <row r="6" spans="1:3" ht="31.5" x14ac:dyDescent="0.25">
      <c r="A6" s="6" t="s">
        <v>79</v>
      </c>
      <c r="B6" s="4"/>
      <c r="C6" s="3">
        <v>1504912</v>
      </c>
    </row>
    <row r="7" spans="1:3" x14ac:dyDescent="0.25">
      <c r="A7" s="6" t="s">
        <v>6</v>
      </c>
      <c r="B7" s="6"/>
      <c r="C7" s="7">
        <f>'[1]Reserve Fund '!I18</f>
        <v>1503571.47</v>
      </c>
    </row>
    <row r="8" spans="1:3" x14ac:dyDescent="0.25">
      <c r="A8" s="8" t="s">
        <v>7</v>
      </c>
      <c r="B8" s="9"/>
      <c r="C8" s="10">
        <f>C5-C6-C7</f>
        <v>2978091.5300000003</v>
      </c>
    </row>
    <row r="9" spans="1:3" ht="18.75" x14ac:dyDescent="0.3">
      <c r="A9" s="100" t="s">
        <v>80</v>
      </c>
      <c r="B9" s="100"/>
      <c r="C9" s="100"/>
    </row>
    <row r="10" spans="1:3" ht="31.5" x14ac:dyDescent="0.25">
      <c r="A10" s="6" t="s">
        <v>9</v>
      </c>
      <c r="B10" s="11">
        <v>1.4999999999999999E-2</v>
      </c>
      <c r="C10" s="3">
        <f>PMT(B10/12,120,C$8)*-12</f>
        <v>320888.76600669033</v>
      </c>
    </row>
    <row r="11" spans="1:3" ht="31.5" x14ac:dyDescent="0.25">
      <c r="A11" s="19" t="s">
        <v>11</v>
      </c>
      <c r="B11" s="67">
        <v>0</v>
      </c>
      <c r="C11" s="3">
        <f>4800*B11</f>
        <v>0</v>
      </c>
    </row>
    <row r="12" spans="1:3" x14ac:dyDescent="0.25">
      <c r="A12" s="19" t="s">
        <v>12</v>
      </c>
      <c r="B12" s="67"/>
      <c r="C12" s="3">
        <v>142000</v>
      </c>
    </row>
    <row r="13" spans="1:3" ht="31.5" x14ac:dyDescent="0.25">
      <c r="A13" s="15" t="s">
        <v>13</v>
      </c>
      <c r="B13" s="16">
        <v>230</v>
      </c>
      <c r="C13" s="10">
        <f>220*B13</f>
        <v>50600</v>
      </c>
    </row>
    <row r="14" spans="1:3" x14ac:dyDescent="0.25">
      <c r="A14" s="17" t="s">
        <v>7</v>
      </c>
      <c r="B14" s="67"/>
      <c r="C14" s="25">
        <f>C10-C11-C12-C13</f>
        <v>128288.76600669033</v>
      </c>
    </row>
    <row r="15" spans="1:3" ht="31.5" x14ac:dyDescent="0.25">
      <c r="A15" s="19" t="s">
        <v>14</v>
      </c>
      <c r="B15" s="20">
        <v>600</v>
      </c>
      <c r="C15" s="66">
        <f>C14/$B15</f>
        <v>213.81461001115056</v>
      </c>
    </row>
    <row r="16" spans="1:3" ht="31.5" x14ac:dyDescent="0.25">
      <c r="A16" s="19" t="s">
        <v>15</v>
      </c>
      <c r="B16" s="22"/>
      <c r="C16" s="10">
        <f>((C10*0.906)-C11-C12-C13)/$B15</f>
        <v>163.54203667010239</v>
      </c>
    </row>
  </sheetData>
  <mergeCells count="1">
    <mergeCell ref="A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Main Loan Scenarios</vt:lpstr>
      <vt:lpstr>Loan Scenarios on CPPOM costs</vt:lpstr>
      <vt:lpstr>Loan Scenarios with Hyder costs</vt:lpstr>
      <vt:lpstr>Reserve Fund </vt:lpstr>
      <vt:lpstr>Construction Costs</vt:lpstr>
      <vt:lpstr>Other figures</vt:lpstr>
      <vt:lpstr>Ground Floor only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dc:creator>
  <cp:lastModifiedBy>Bill Gye</cp:lastModifiedBy>
  <cp:revision>0</cp:revision>
  <dcterms:created xsi:type="dcterms:W3CDTF">2014-08-30T12:41:04Z</dcterms:created>
  <dcterms:modified xsi:type="dcterms:W3CDTF">2015-11-10T11:23:51Z</dcterms:modified>
</cp:coreProperties>
</file>